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03\Desktop\"/>
    </mc:Choice>
  </mc:AlternateContent>
  <bookViews>
    <workbookView xWindow="0" yWindow="0" windowWidth="24000" windowHeight="9735"/>
  </bookViews>
  <sheets>
    <sheet name="Anexo III - Modelo de proposta" sheetId="39" r:id="rId1"/>
    <sheet name="Copeiragem" sheetId="22" r:id="rId2"/>
    <sheet name="Servente de Limpeza" sheetId="1" r:id="rId3"/>
    <sheet name="Servente de Limpreza (MHMTT)" sheetId="16" r:id="rId4"/>
    <sheet name="Auxiliar de Manutenção Predial" sheetId="17" r:id="rId5"/>
    <sheet name="Recepcionista" sheetId="18" r:id="rId6"/>
    <sheet name="Assistente Administrativo I" sheetId="19" r:id="rId7"/>
    <sheet name="Assistente Adm. - MHMTT" sheetId="20" r:id="rId8"/>
    <sheet name="Motorista I" sheetId="31" r:id="rId9"/>
    <sheet name="Motorista II" sheetId="37" r:id="rId10"/>
  </sheets>
  <externalReferences>
    <externalReference r:id="rId11"/>
  </externalReferences>
  <definedNames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hidden="1">#REF!</definedName>
    <definedName name="a" localSheetId="8">[1]cruz!#REF!</definedName>
    <definedName name="a">[1]cruz!#REF!</definedName>
    <definedName name="aaa" localSheetId="8">[1]cruz!#REF!</definedName>
    <definedName name="aaa">[1]cruz!#REF!</definedName>
    <definedName name="aaaa" localSheetId="8">[1]cruz!#REF!</definedName>
    <definedName name="aaaa">[1]cruz!#REF!</definedName>
    <definedName name="aaaaa" localSheetId="8">[1]cruz!#REF!</definedName>
    <definedName name="aaaaa">[1]cruz!#REF!</definedName>
    <definedName name="b" localSheetId="8">[1]cruz!#REF!</definedName>
    <definedName name="b">[1]cruz!#REF!</definedName>
    <definedName name="_xlnm.Database" localSheetId="8">[1]cruz!#REF!</definedName>
    <definedName name="_xlnm.Database">[1]cruz!#REF!</definedName>
    <definedName name="_xlnm.Criteria" localSheetId="8">[1]cruz!#REF!</definedName>
    <definedName name="_xlnm.Criteria">[1]cruz!#REF!</definedName>
    <definedName name="d" localSheetId="8">[1]cruz!#REF!</definedName>
    <definedName name="d">[1]cruz!#REF!</definedName>
    <definedName name="fdhg" localSheetId="8">[1]cruz!#REF!</definedName>
    <definedName name="fdhg">[1]cruz!#REF!</definedName>
    <definedName name="fff" localSheetId="8">[1]cruz!#REF!</definedName>
    <definedName name="fff">[1]cruz!#REF!</definedName>
    <definedName name="gfdjdh" localSheetId="8">[1]cruz!#REF!</definedName>
    <definedName name="gfdjdh">[1]cruz!#REF!</definedName>
    <definedName name="gggg" localSheetId="8">[1]cruz!#REF!</definedName>
    <definedName name="gggg">[1]cruz!#REF!</definedName>
    <definedName name="_xlnm.Recorder" localSheetId="8">#REF!</definedName>
    <definedName name="_xlnm.Recorder">#REF!</definedName>
    <definedName name="iiouoiuo" localSheetId="8">[1]cruz!#REF!</definedName>
    <definedName name="iiouoiuo">[1]cruz!#REF!</definedName>
    <definedName name="jghfhf" localSheetId="8">[1]cruz!#REF!</definedName>
    <definedName name="jghfhf">[1]cruz!#REF!</definedName>
    <definedName name="kjhk" localSheetId="8">[1]cruz!#REF!</definedName>
    <definedName name="kjhk">[1]cruz!#REF!</definedName>
    <definedName name="kkk" localSheetId="8">[1]cruz!#REF!</definedName>
    <definedName name="kkk">[1]cruz!#REF!</definedName>
    <definedName name="klhlkhj" localSheetId="8">[1]cruz!#REF!</definedName>
    <definedName name="klhlkhj">[1]cruz!#REF!</definedName>
    <definedName name="Limpeza" localSheetId="8">[1]cruz!#REF!</definedName>
    <definedName name="Limpeza">[1]cruz!#REF!</definedName>
    <definedName name="NUMERO" localSheetId="8">#REF!</definedName>
    <definedName name="NUMERO">#REF!</definedName>
    <definedName name="oficial" localSheetId="8">[1]cruz!#REF!</definedName>
    <definedName name="oficial">[1]cruz!#REF!</definedName>
    <definedName name="oi" localSheetId="8">[1]cruz!#REF!</definedName>
    <definedName name="oi">[1]cruz!#REF!</definedName>
    <definedName name="s" localSheetId="8">[1]cruz!#REF!</definedName>
    <definedName name="s">[1]cruz!#REF!</definedName>
    <definedName name="sgfd" localSheetId="8">[1]cruz!#REF!</definedName>
    <definedName name="sgfd">[1]cruz!#REF!</definedName>
    <definedName name="ss" localSheetId="8">[1]cruz!#REF!</definedName>
    <definedName name="ss">[1]cruz!#REF!</definedName>
    <definedName name="ssssssssss" localSheetId="8">[1]cruz!#REF!</definedName>
    <definedName name="ssssssssss">[1]cruz!#REF!</definedName>
    <definedName name="try" localSheetId="8">[1]cruz!#REF!</definedName>
    <definedName name="try">[1]cruz!#REF!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39" l="1"/>
  <c r="C80" i="39"/>
  <c r="C69" i="39"/>
  <c r="C58" i="39"/>
  <c r="C36" i="39"/>
  <c r="C47" i="39"/>
  <c r="C25" i="39"/>
  <c r="C14" i="39"/>
  <c r="C3" i="39"/>
  <c r="G25" i="37" l="1"/>
  <c r="G25" i="17" l="1"/>
  <c r="G25" i="22"/>
  <c r="G25" i="20"/>
  <c r="G25" i="19"/>
  <c r="G25" i="18"/>
  <c r="G25" i="16"/>
  <c r="G25" i="1"/>
  <c r="G83" i="37" l="1"/>
  <c r="G84" i="37" s="1"/>
  <c r="G83" i="31"/>
  <c r="G84" i="31" s="1"/>
  <c r="G85" i="22"/>
  <c r="G85" i="20"/>
  <c r="G85" i="19"/>
  <c r="G85" i="18"/>
  <c r="G85" i="17"/>
  <c r="G85" i="16"/>
  <c r="G85" i="1"/>
  <c r="G85" i="37"/>
  <c r="G85" i="31"/>
  <c r="G83" i="22" l="1"/>
  <c r="G84" i="22" s="1"/>
  <c r="G83" i="20"/>
  <c r="G84" i="20" s="1"/>
  <c r="G83" i="19"/>
  <c r="G84" i="19" s="1"/>
  <c r="G83" i="18"/>
  <c r="G84" i="18" s="1"/>
  <c r="G83" i="17"/>
  <c r="G84" i="17" s="1"/>
  <c r="G83" i="16"/>
  <c r="G84" i="16" s="1"/>
  <c r="G83" i="1"/>
  <c r="G84" i="1" s="1"/>
  <c r="B132" i="20" l="1"/>
  <c r="G86" i="1"/>
  <c r="E89" i="39" l="1"/>
  <c r="F89" i="39" s="1"/>
  <c r="E90" i="39"/>
  <c r="F90" i="39" s="1"/>
  <c r="F91" i="39" l="1"/>
  <c r="E133" i="31" l="1"/>
  <c r="E106" i="39" l="1"/>
  <c r="F106" i="39" s="1"/>
  <c r="E105" i="39"/>
  <c r="F105" i="39" s="1"/>
  <c r="F107" i="39" l="1"/>
  <c r="E138" i="37" l="1"/>
  <c r="B138" i="37"/>
  <c r="E133" i="37"/>
  <c r="F133" i="37" s="1"/>
  <c r="G133" i="37" s="1"/>
  <c r="E132" i="37"/>
  <c r="F132" i="37" s="1"/>
  <c r="G132" i="37" s="1"/>
  <c r="F118" i="37"/>
  <c r="F111" i="37"/>
  <c r="G102" i="37"/>
  <c r="G86" i="37"/>
  <c r="F67" i="37"/>
  <c r="F66" i="37"/>
  <c r="F65" i="37"/>
  <c r="F64" i="37"/>
  <c r="F69" i="37" s="1"/>
  <c r="F58" i="37"/>
  <c r="F57" i="37"/>
  <c r="F50" i="37"/>
  <c r="F70" i="37" s="1"/>
  <c r="F49" i="37"/>
  <c r="F48" i="37"/>
  <c r="F47" i="37"/>
  <c r="F46" i="37"/>
  <c r="F45" i="37"/>
  <c r="F40" i="37"/>
  <c r="F75" i="37" s="1"/>
  <c r="G27" i="37"/>
  <c r="E125" i="37" s="1"/>
  <c r="F133" i="31"/>
  <c r="G133" i="31" s="1"/>
  <c r="E132" i="31"/>
  <c r="F132" i="31" s="1"/>
  <c r="G132" i="31" s="1"/>
  <c r="G134" i="31" s="1"/>
  <c r="F52" i="37" l="1"/>
  <c r="F53" i="37" s="1"/>
  <c r="F59" i="37"/>
  <c r="E127" i="37"/>
  <c r="E126" i="37"/>
  <c r="G70" i="37"/>
  <c r="G134" i="37"/>
  <c r="G69" i="37"/>
  <c r="G94" i="37"/>
  <c r="G67" i="37"/>
  <c r="G65" i="37"/>
  <c r="G59" i="37"/>
  <c r="G57" i="37"/>
  <c r="G51" i="37"/>
  <c r="G36" i="37"/>
  <c r="G32" i="37"/>
  <c r="G47" i="37"/>
  <c r="G33" i="37"/>
  <c r="G50" i="37"/>
  <c r="G48" i="37"/>
  <c r="G46" i="37"/>
  <c r="G44" i="37"/>
  <c r="G39" i="37"/>
  <c r="G35" i="37"/>
  <c r="G49" i="37"/>
  <c r="G45" i="37"/>
  <c r="G37" i="37"/>
  <c r="G66" i="37"/>
  <c r="G64" i="37"/>
  <c r="G58" i="37"/>
  <c r="G52" i="37"/>
  <c r="G43" i="37"/>
  <c r="G38" i="37"/>
  <c r="G34" i="37"/>
  <c r="F60" i="37"/>
  <c r="G60" i="37" s="1"/>
  <c r="F68" i="37"/>
  <c r="F71" i="37" s="1"/>
  <c r="F78" i="37" s="1"/>
  <c r="E138" i="31"/>
  <c r="B138" i="31"/>
  <c r="F118" i="31"/>
  <c r="F111" i="31"/>
  <c r="G102" i="31"/>
  <c r="G86" i="31"/>
  <c r="F67" i="31"/>
  <c r="F66" i="31"/>
  <c r="F65" i="31"/>
  <c r="F64" i="31"/>
  <c r="F58" i="31"/>
  <c r="F57" i="31"/>
  <c r="F50" i="31"/>
  <c r="F70" i="31" s="1"/>
  <c r="F49" i="31"/>
  <c r="F48" i="31"/>
  <c r="F47" i="31"/>
  <c r="F46" i="31"/>
  <c r="F45" i="31"/>
  <c r="F40" i="31"/>
  <c r="F75" i="31" s="1"/>
  <c r="G25" i="31"/>
  <c r="G27" i="31" s="1"/>
  <c r="E132" i="22"/>
  <c r="B132" i="22"/>
  <c r="F118" i="22"/>
  <c r="F111" i="22"/>
  <c r="G102" i="22"/>
  <c r="G86" i="22"/>
  <c r="F67" i="22"/>
  <c r="F66" i="22"/>
  <c r="F65" i="22"/>
  <c r="F64" i="22"/>
  <c r="F58" i="22"/>
  <c r="F57" i="22"/>
  <c r="F50" i="22"/>
  <c r="F70" i="22" s="1"/>
  <c r="F49" i="22"/>
  <c r="F48" i="22"/>
  <c r="F47" i="22"/>
  <c r="F46" i="22"/>
  <c r="F45" i="22"/>
  <c r="F40" i="22"/>
  <c r="F75" i="22" s="1"/>
  <c r="G27" i="22"/>
  <c r="E127" i="22" s="1"/>
  <c r="E132" i="20"/>
  <c r="F118" i="20"/>
  <c r="F111" i="20"/>
  <c r="G102" i="20"/>
  <c r="G86" i="20"/>
  <c r="F67" i="20"/>
  <c r="F66" i="20"/>
  <c r="F65" i="20"/>
  <c r="F64" i="20"/>
  <c r="F58" i="20"/>
  <c r="F57" i="20"/>
  <c r="F50" i="20"/>
  <c r="F70" i="20" s="1"/>
  <c r="F49" i="20"/>
  <c r="F48" i="20"/>
  <c r="F47" i="20"/>
  <c r="F46" i="20"/>
  <c r="F45" i="20"/>
  <c r="F40" i="20"/>
  <c r="F75" i="20" s="1"/>
  <c r="G27" i="20"/>
  <c r="E127" i="20" s="1"/>
  <c r="E132" i="19"/>
  <c r="B132" i="19"/>
  <c r="F118" i="19"/>
  <c r="F111" i="19"/>
  <c r="G102" i="19"/>
  <c r="G86" i="19"/>
  <c r="F67" i="19"/>
  <c r="F66" i="19"/>
  <c r="F65" i="19"/>
  <c r="F64" i="19"/>
  <c r="F58" i="19"/>
  <c r="F57" i="19"/>
  <c r="F59" i="19" s="1"/>
  <c r="F50" i="19"/>
  <c r="F70" i="19" s="1"/>
  <c r="F49" i="19"/>
  <c r="F48" i="19"/>
  <c r="F47" i="19"/>
  <c r="F46" i="19"/>
  <c r="F45" i="19"/>
  <c r="F40" i="19"/>
  <c r="F75" i="19" s="1"/>
  <c r="G27" i="19"/>
  <c r="E127" i="19" s="1"/>
  <c r="E132" i="18"/>
  <c r="B132" i="18"/>
  <c r="F118" i="18"/>
  <c r="F111" i="18"/>
  <c r="G102" i="18"/>
  <c r="G86" i="18"/>
  <c r="F67" i="18"/>
  <c r="F66" i="18"/>
  <c r="F65" i="18"/>
  <c r="F64" i="18"/>
  <c r="F68" i="18" s="1"/>
  <c r="F58" i="18"/>
  <c r="F57" i="18"/>
  <c r="F59" i="18" s="1"/>
  <c r="F50" i="18"/>
  <c r="F70" i="18" s="1"/>
  <c r="F49" i="18"/>
  <c r="F48" i="18"/>
  <c r="F47" i="18"/>
  <c r="F46" i="18"/>
  <c r="F45" i="18"/>
  <c r="F52" i="18" s="1"/>
  <c r="F40" i="18"/>
  <c r="F75" i="18" s="1"/>
  <c r="G27" i="18"/>
  <c r="E127" i="18" s="1"/>
  <c r="E132" i="17"/>
  <c r="B132" i="17"/>
  <c r="F118" i="17"/>
  <c r="F111" i="17"/>
  <c r="G102" i="17"/>
  <c r="G86" i="17"/>
  <c r="F67" i="17"/>
  <c r="F66" i="17"/>
  <c r="F65" i="17"/>
  <c r="F64" i="17"/>
  <c r="F58" i="17"/>
  <c r="F57" i="17"/>
  <c r="F59" i="17" s="1"/>
  <c r="F50" i="17"/>
  <c r="F70" i="17" s="1"/>
  <c r="F49" i="17"/>
  <c r="F48" i="17"/>
  <c r="F47" i="17"/>
  <c r="F46" i="17"/>
  <c r="F45" i="17"/>
  <c r="F40" i="17"/>
  <c r="F75" i="17" s="1"/>
  <c r="G27" i="17"/>
  <c r="E127" i="17" s="1"/>
  <c r="B132" i="16"/>
  <c r="E132" i="16"/>
  <c r="F118" i="16"/>
  <c r="F111" i="16"/>
  <c r="G102" i="16"/>
  <c r="G86" i="16"/>
  <c r="F67" i="16"/>
  <c r="F66" i="16"/>
  <c r="F65" i="16"/>
  <c r="F64" i="16"/>
  <c r="F58" i="16"/>
  <c r="F57" i="16"/>
  <c r="F50" i="16"/>
  <c r="F70" i="16" s="1"/>
  <c r="F49" i="16"/>
  <c r="F48" i="16"/>
  <c r="F47" i="16"/>
  <c r="F46" i="16"/>
  <c r="F45" i="16"/>
  <c r="F40" i="16"/>
  <c r="F75" i="16" s="1"/>
  <c r="G27" i="16"/>
  <c r="E127" i="16" s="1"/>
  <c r="E132" i="1"/>
  <c r="B132" i="1"/>
  <c r="F118" i="1"/>
  <c r="F111" i="1"/>
  <c r="G102" i="1"/>
  <c r="F67" i="1"/>
  <c r="F66" i="1"/>
  <c r="F65" i="1"/>
  <c r="F64" i="1"/>
  <c r="F69" i="1" s="1"/>
  <c r="F58" i="1"/>
  <c r="F57" i="1"/>
  <c r="F50" i="1"/>
  <c r="F70" i="1" s="1"/>
  <c r="F49" i="1"/>
  <c r="F48" i="1"/>
  <c r="F47" i="1"/>
  <c r="F46" i="1"/>
  <c r="F45" i="1"/>
  <c r="F40" i="1"/>
  <c r="F75" i="1" s="1"/>
  <c r="G27" i="1"/>
  <c r="F52" i="17" l="1"/>
  <c r="F54" i="37"/>
  <c r="F76" i="37" s="1"/>
  <c r="G53" i="37"/>
  <c r="F59" i="22"/>
  <c r="G59" i="22" s="1"/>
  <c r="F52" i="22"/>
  <c r="F68" i="22"/>
  <c r="F59" i="20"/>
  <c r="F52" i="20"/>
  <c r="G52" i="20" s="1"/>
  <c r="F68" i="20"/>
  <c r="F68" i="19"/>
  <c r="F69" i="19"/>
  <c r="F52" i="19"/>
  <c r="F53" i="19" s="1"/>
  <c r="G53" i="19" s="1"/>
  <c r="G70" i="19"/>
  <c r="F68" i="17"/>
  <c r="F69" i="17"/>
  <c r="F52" i="16"/>
  <c r="F68" i="16"/>
  <c r="F71" i="16" s="1"/>
  <c r="F78" i="16" s="1"/>
  <c r="F59" i="16"/>
  <c r="F59" i="1"/>
  <c r="G70" i="17"/>
  <c r="G35" i="1"/>
  <c r="E127" i="1"/>
  <c r="E126" i="1"/>
  <c r="E125" i="31"/>
  <c r="E127" i="31"/>
  <c r="E126" i="31"/>
  <c r="G68" i="37"/>
  <c r="G71" i="37" s="1"/>
  <c r="G78" i="37" s="1"/>
  <c r="F61" i="37"/>
  <c r="F77" i="37" s="1"/>
  <c r="F59" i="31"/>
  <c r="F60" i="31" s="1"/>
  <c r="G60" i="31" s="1"/>
  <c r="G36" i="1"/>
  <c r="G54" i="37"/>
  <c r="G76" i="37" s="1"/>
  <c r="G40" i="37"/>
  <c r="G75" i="37" s="1"/>
  <c r="G61" i="37"/>
  <c r="G77" i="37" s="1"/>
  <c r="F52" i="31"/>
  <c r="G52" i="31" s="1"/>
  <c r="F68" i="31"/>
  <c r="G70" i="31"/>
  <c r="G49" i="31"/>
  <c r="G47" i="31"/>
  <c r="G45" i="31"/>
  <c r="G37" i="31"/>
  <c r="G33" i="31"/>
  <c r="G66" i="31"/>
  <c r="G64" i="31"/>
  <c r="G43" i="31"/>
  <c r="G94" i="31"/>
  <c r="G67" i="31"/>
  <c r="G65" i="31"/>
  <c r="G59" i="31"/>
  <c r="G57" i="31"/>
  <c r="G51" i="31"/>
  <c r="G36" i="31"/>
  <c r="G32" i="31"/>
  <c r="G38" i="31"/>
  <c r="G50" i="31"/>
  <c r="G48" i="31"/>
  <c r="G46" i="31"/>
  <c r="G44" i="31"/>
  <c r="G39" i="31"/>
  <c r="G35" i="31"/>
  <c r="G58" i="31"/>
  <c r="G34" i="31"/>
  <c r="F53" i="31"/>
  <c r="G53" i="31" s="1"/>
  <c r="F69" i="31"/>
  <c r="G69" i="31" s="1"/>
  <c r="G70" i="22"/>
  <c r="E125" i="22"/>
  <c r="G49" i="22"/>
  <c r="G47" i="22"/>
  <c r="G45" i="22"/>
  <c r="G37" i="22"/>
  <c r="G33" i="22"/>
  <c r="G64" i="22"/>
  <c r="G34" i="22"/>
  <c r="E126" i="22"/>
  <c r="G94" i="22"/>
  <c r="G67" i="22"/>
  <c r="G65" i="22"/>
  <c r="G57" i="22"/>
  <c r="G51" i="22"/>
  <c r="G36" i="22"/>
  <c r="G32" i="22"/>
  <c r="G52" i="22"/>
  <c r="G38" i="22"/>
  <c r="G50" i="22"/>
  <c r="G48" i="22"/>
  <c r="G46" i="22"/>
  <c r="G44" i="22"/>
  <c r="G39" i="22"/>
  <c r="G35" i="22"/>
  <c r="G66" i="22"/>
  <c r="G58" i="22"/>
  <c r="G43" i="22"/>
  <c r="F53" i="22"/>
  <c r="G53" i="22" s="1"/>
  <c r="F69" i="22"/>
  <c r="G69" i="22" s="1"/>
  <c r="G70" i="20"/>
  <c r="E125" i="20"/>
  <c r="G49" i="20"/>
  <c r="G47" i="20"/>
  <c r="G45" i="20"/>
  <c r="G37" i="20"/>
  <c r="G33" i="20"/>
  <c r="G66" i="20"/>
  <c r="G58" i="20"/>
  <c r="G43" i="20"/>
  <c r="E126" i="20"/>
  <c r="G94" i="20"/>
  <c r="G67" i="20"/>
  <c r="G65" i="20"/>
  <c r="G59" i="20"/>
  <c r="G57" i="20"/>
  <c r="G51" i="20"/>
  <c r="G36" i="20"/>
  <c r="G32" i="20"/>
  <c r="G38" i="20"/>
  <c r="G50" i="20"/>
  <c r="G48" i="20"/>
  <c r="G46" i="20"/>
  <c r="G44" i="20"/>
  <c r="G39" i="20"/>
  <c r="G35" i="20"/>
  <c r="G64" i="20"/>
  <c r="G34" i="20"/>
  <c r="F60" i="20"/>
  <c r="G60" i="20" s="1"/>
  <c r="F69" i="20"/>
  <c r="G69" i="20" s="1"/>
  <c r="E125" i="19"/>
  <c r="G49" i="19"/>
  <c r="G47" i="19"/>
  <c r="G45" i="19"/>
  <c r="G37" i="19"/>
  <c r="G33" i="19"/>
  <c r="G66" i="19"/>
  <c r="G43" i="19"/>
  <c r="G38" i="19"/>
  <c r="E126" i="19"/>
  <c r="G94" i="19"/>
  <c r="G67" i="19"/>
  <c r="G65" i="19"/>
  <c r="G59" i="19"/>
  <c r="G57" i="19"/>
  <c r="G51" i="19"/>
  <c r="G36" i="19"/>
  <c r="G32" i="19"/>
  <c r="G50" i="19"/>
  <c r="G48" i="19"/>
  <c r="G46" i="19"/>
  <c r="G44" i="19"/>
  <c r="G39" i="19"/>
  <c r="G35" i="19"/>
  <c r="G64" i="19"/>
  <c r="G58" i="19"/>
  <c r="G34" i="19"/>
  <c r="F60" i="19"/>
  <c r="G60" i="19" s="1"/>
  <c r="F71" i="19"/>
  <c r="F78" i="19" s="1"/>
  <c r="G69" i="19"/>
  <c r="G70" i="18"/>
  <c r="E125" i="18"/>
  <c r="G49" i="18"/>
  <c r="G47" i="18"/>
  <c r="G45" i="18"/>
  <c r="G37" i="18"/>
  <c r="G33" i="18"/>
  <c r="G66" i="18"/>
  <c r="G43" i="18"/>
  <c r="E126" i="18"/>
  <c r="G94" i="18"/>
  <c r="G67" i="18"/>
  <c r="G65" i="18"/>
  <c r="G59" i="18"/>
  <c r="G57" i="18"/>
  <c r="G51" i="18"/>
  <c r="G36" i="18"/>
  <c r="G32" i="18"/>
  <c r="G58" i="18"/>
  <c r="G38" i="18"/>
  <c r="G50" i="18"/>
  <c r="G48" i="18"/>
  <c r="G46" i="18"/>
  <c r="G44" i="18"/>
  <c r="G39" i="18"/>
  <c r="G35" i="18"/>
  <c r="G64" i="18"/>
  <c r="G52" i="18"/>
  <c r="G34" i="18"/>
  <c r="F60" i="18"/>
  <c r="G60" i="18" s="1"/>
  <c r="F53" i="18"/>
  <c r="G53" i="18" s="1"/>
  <c r="F69" i="18"/>
  <c r="G69" i="18" s="1"/>
  <c r="F53" i="17"/>
  <c r="G53" i="17" s="1"/>
  <c r="E125" i="17"/>
  <c r="G49" i="17"/>
  <c r="G47" i="17"/>
  <c r="G45" i="17"/>
  <c r="G37" i="17"/>
  <c r="G33" i="17"/>
  <c r="G46" i="17"/>
  <c r="G52" i="17"/>
  <c r="G54" i="17" s="1"/>
  <c r="G76" i="17" s="1"/>
  <c r="G43" i="17"/>
  <c r="G34" i="17"/>
  <c r="E126" i="17"/>
  <c r="G94" i="17"/>
  <c r="G67" i="17"/>
  <c r="G65" i="17"/>
  <c r="G59" i="17"/>
  <c r="G57" i="17"/>
  <c r="G51" i="17"/>
  <c r="G36" i="17"/>
  <c r="G32" i="17"/>
  <c r="G50" i="17"/>
  <c r="G48" i="17"/>
  <c r="G44" i="17"/>
  <c r="G39" i="17"/>
  <c r="G35" i="17"/>
  <c r="G66" i="17"/>
  <c r="G64" i="17"/>
  <c r="G58" i="17"/>
  <c r="G38" i="17"/>
  <c r="F60" i="17"/>
  <c r="G60" i="17" s="1"/>
  <c r="F71" i="17"/>
  <c r="F78" i="17" s="1"/>
  <c r="G69" i="17"/>
  <c r="G70" i="16"/>
  <c r="E125" i="16"/>
  <c r="G49" i="16"/>
  <c r="G47" i="16"/>
  <c r="G45" i="16"/>
  <c r="G37" i="16"/>
  <c r="G33" i="16"/>
  <c r="G64" i="16"/>
  <c r="G38" i="16"/>
  <c r="E126" i="16"/>
  <c r="G94" i="16"/>
  <c r="G67" i="16"/>
  <c r="G65" i="16"/>
  <c r="G59" i="16"/>
  <c r="G57" i="16"/>
  <c r="G51" i="16"/>
  <c r="G36" i="16"/>
  <c r="G32" i="16"/>
  <c r="G58" i="16"/>
  <c r="G34" i="16"/>
  <c r="G50" i="16"/>
  <c r="G48" i="16"/>
  <c r="G46" i="16"/>
  <c r="G44" i="16"/>
  <c r="G39" i="16"/>
  <c r="G35" i="16"/>
  <c r="G66" i="16"/>
  <c r="G52" i="16"/>
  <c r="G43" i="16"/>
  <c r="F60" i="16"/>
  <c r="G60" i="16" s="1"/>
  <c r="F53" i="16"/>
  <c r="G53" i="16" s="1"/>
  <c r="F69" i="16"/>
  <c r="G69" i="16" s="1"/>
  <c r="F60" i="1"/>
  <c r="F61" i="1" s="1"/>
  <c r="F52" i="1"/>
  <c r="F53" i="1" s="1"/>
  <c r="G53" i="1" s="1"/>
  <c r="G70" i="1"/>
  <c r="G64" i="1"/>
  <c r="G50" i="1"/>
  <c r="G46" i="1"/>
  <c r="G39" i="1"/>
  <c r="G34" i="1"/>
  <c r="E125" i="1"/>
  <c r="G67" i="1"/>
  <c r="G59" i="1"/>
  <c r="G49" i="1"/>
  <c r="G45" i="1"/>
  <c r="G37" i="1"/>
  <c r="G33" i="1"/>
  <c r="G94" i="1"/>
  <c r="G66" i="1"/>
  <c r="G58" i="1"/>
  <c r="G48" i="1"/>
  <c r="G44" i="1"/>
  <c r="G32" i="1"/>
  <c r="G65" i="1"/>
  <c r="G57" i="1"/>
  <c r="G47" i="1"/>
  <c r="G43" i="1"/>
  <c r="G69" i="1"/>
  <c r="F68" i="1"/>
  <c r="F71" i="1" s="1"/>
  <c r="F78" i="1" s="1"/>
  <c r="G38" i="1"/>
  <c r="G51" i="1"/>
  <c r="F61" i="20" l="1"/>
  <c r="F77" i="20" s="1"/>
  <c r="F61" i="18"/>
  <c r="F77" i="18" s="1"/>
  <c r="G60" i="1"/>
  <c r="G61" i="1" s="1"/>
  <c r="G77" i="1" s="1"/>
  <c r="F60" i="22"/>
  <c r="G60" i="22" s="1"/>
  <c r="G61" i="22" s="1"/>
  <c r="G77" i="22" s="1"/>
  <c r="F53" i="20"/>
  <c r="G53" i="20" s="1"/>
  <c r="F71" i="20"/>
  <c r="F78" i="20" s="1"/>
  <c r="G52" i="19"/>
  <c r="F71" i="18"/>
  <c r="F78" i="18" s="1"/>
  <c r="F79" i="37"/>
  <c r="F71" i="31"/>
  <c r="F78" i="31" s="1"/>
  <c r="F71" i="22"/>
  <c r="F78" i="22" s="1"/>
  <c r="F61" i="22"/>
  <c r="F77" i="22" s="1"/>
  <c r="G61" i="19"/>
  <c r="G77" i="19" s="1"/>
  <c r="F61" i="19"/>
  <c r="F77" i="19" s="1"/>
  <c r="F54" i="17"/>
  <c r="F76" i="17" s="1"/>
  <c r="F61" i="16"/>
  <c r="F77" i="16" s="1"/>
  <c r="F54" i="1"/>
  <c r="F76" i="1" s="1"/>
  <c r="G79" i="37"/>
  <c r="G104" i="37" s="1"/>
  <c r="G108" i="37" s="1"/>
  <c r="F61" i="31"/>
  <c r="F77" i="31" s="1"/>
  <c r="G54" i="31"/>
  <c r="G76" i="31" s="1"/>
  <c r="G68" i="31"/>
  <c r="G71" i="31" s="1"/>
  <c r="G78" i="31" s="1"/>
  <c r="F54" i="31"/>
  <c r="F76" i="31" s="1"/>
  <c r="G40" i="31"/>
  <c r="G75" i="31" s="1"/>
  <c r="G61" i="31"/>
  <c r="G77" i="31" s="1"/>
  <c r="G40" i="22"/>
  <c r="G75" i="22" s="1"/>
  <c r="G68" i="22"/>
  <c r="G71" i="22" s="1"/>
  <c r="G78" i="22" s="1"/>
  <c r="G54" i="22"/>
  <c r="G76" i="22" s="1"/>
  <c r="F54" i="22"/>
  <c r="F76" i="22" s="1"/>
  <c r="G61" i="18"/>
  <c r="G77" i="18" s="1"/>
  <c r="G61" i="20"/>
  <c r="G77" i="20" s="1"/>
  <c r="G54" i="20"/>
  <c r="G76" i="20" s="1"/>
  <c r="G68" i="20"/>
  <c r="G71" i="20" s="1"/>
  <c r="G78" i="20" s="1"/>
  <c r="G40" i="20"/>
  <c r="G75" i="20" s="1"/>
  <c r="F54" i="20"/>
  <c r="F76" i="20" s="1"/>
  <c r="G54" i="19"/>
  <c r="G76" i="19" s="1"/>
  <c r="G68" i="19"/>
  <c r="G71" i="19" s="1"/>
  <c r="G78" i="19" s="1"/>
  <c r="G40" i="19"/>
  <c r="G75" i="19" s="1"/>
  <c r="F54" i="19"/>
  <c r="F76" i="19" s="1"/>
  <c r="F79" i="19" s="1"/>
  <c r="F125" i="19" s="1"/>
  <c r="G125" i="19" s="1"/>
  <c r="D61" i="39" s="1"/>
  <c r="E61" i="39" s="1"/>
  <c r="F61" i="39" s="1"/>
  <c r="G40" i="18"/>
  <c r="G75" i="18" s="1"/>
  <c r="F54" i="18"/>
  <c r="F76" i="18" s="1"/>
  <c r="G68" i="18"/>
  <c r="G71" i="18" s="1"/>
  <c r="G78" i="18" s="1"/>
  <c r="G54" i="18"/>
  <c r="G76" i="18" s="1"/>
  <c r="F61" i="17"/>
  <c r="F77" i="17" s="1"/>
  <c r="F79" i="17" s="1"/>
  <c r="F127" i="17" s="1"/>
  <c r="G127" i="17" s="1"/>
  <c r="D41" i="39" s="1"/>
  <c r="E41" i="39" s="1"/>
  <c r="F41" i="39" s="1"/>
  <c r="G68" i="17"/>
  <c r="G71" i="17" s="1"/>
  <c r="G78" i="17" s="1"/>
  <c r="G40" i="17"/>
  <c r="G75" i="17" s="1"/>
  <c r="G61" i="17"/>
  <c r="G77" i="17" s="1"/>
  <c r="G61" i="16"/>
  <c r="G77" i="16" s="1"/>
  <c r="G40" i="16"/>
  <c r="G75" i="16" s="1"/>
  <c r="G54" i="16"/>
  <c r="G76" i="16" s="1"/>
  <c r="F54" i="16"/>
  <c r="F76" i="16" s="1"/>
  <c r="F79" i="16" s="1"/>
  <c r="F127" i="16" s="1"/>
  <c r="G127" i="16" s="1"/>
  <c r="D30" i="39" s="1"/>
  <c r="E30" i="39" s="1"/>
  <c r="F30" i="39" s="1"/>
  <c r="G68" i="16"/>
  <c r="G71" i="16" s="1"/>
  <c r="G78" i="16" s="1"/>
  <c r="G52" i="1"/>
  <c r="G54" i="1" s="1"/>
  <c r="G76" i="1" s="1"/>
  <c r="G68" i="1"/>
  <c r="G71" i="1" s="1"/>
  <c r="G78" i="1" s="1"/>
  <c r="G40" i="1"/>
  <c r="F77" i="1"/>
  <c r="F79" i="1" s="1"/>
  <c r="F79" i="18" l="1"/>
  <c r="F127" i="18" s="1"/>
  <c r="G127" i="18" s="1"/>
  <c r="D52" i="39" s="1"/>
  <c r="E52" i="39" s="1"/>
  <c r="F52" i="39" s="1"/>
  <c r="F79" i="31"/>
  <c r="F125" i="31" s="1"/>
  <c r="G125" i="31" s="1"/>
  <c r="D83" i="39" s="1"/>
  <c r="E83" i="39" s="1"/>
  <c r="F83" i="39" s="1"/>
  <c r="F79" i="20"/>
  <c r="F126" i="17"/>
  <c r="G126" i="17" s="1"/>
  <c r="D40" i="39" s="1"/>
  <c r="E40" i="39" s="1"/>
  <c r="F40" i="39" s="1"/>
  <c r="G110" i="37"/>
  <c r="G109" i="37"/>
  <c r="F125" i="37"/>
  <c r="G125" i="37" s="1"/>
  <c r="F126" i="37"/>
  <c r="G126" i="37" s="1"/>
  <c r="D100" i="39" s="1"/>
  <c r="E100" i="39" s="1"/>
  <c r="F100" i="39" s="1"/>
  <c r="F127" i="37"/>
  <c r="G127" i="37" s="1"/>
  <c r="D101" i="39" s="1"/>
  <c r="E101" i="39" s="1"/>
  <c r="F101" i="39" s="1"/>
  <c r="F79" i="22"/>
  <c r="F126" i="22" s="1"/>
  <c r="G126" i="22" s="1"/>
  <c r="D7" i="39" s="1"/>
  <c r="E7" i="39" s="1"/>
  <c r="F7" i="39" s="1"/>
  <c r="F127" i="19"/>
  <c r="G127" i="19" s="1"/>
  <c r="D63" i="39" s="1"/>
  <c r="E63" i="39" s="1"/>
  <c r="F63" i="39" s="1"/>
  <c r="G79" i="19"/>
  <c r="G104" i="19" s="1"/>
  <c r="G108" i="19" s="1"/>
  <c r="G79" i="16"/>
  <c r="G104" i="16" s="1"/>
  <c r="G110" i="16" s="1"/>
  <c r="F127" i="31"/>
  <c r="G127" i="31" s="1"/>
  <c r="D85" i="39" s="1"/>
  <c r="E85" i="39" s="1"/>
  <c r="F85" i="39" s="1"/>
  <c r="G79" i="31"/>
  <c r="G104" i="31" s="1"/>
  <c r="F126" i="31"/>
  <c r="G126" i="31" s="1"/>
  <c r="D84" i="39" s="1"/>
  <c r="E84" i="39" s="1"/>
  <c r="F84" i="39" s="1"/>
  <c r="G79" i="22"/>
  <c r="G104" i="22" s="1"/>
  <c r="G110" i="22" s="1"/>
  <c r="G79" i="20"/>
  <c r="G104" i="20" s="1"/>
  <c r="F126" i="19"/>
  <c r="G126" i="19" s="1"/>
  <c r="G79" i="18"/>
  <c r="G104" i="18" s="1"/>
  <c r="F125" i="18"/>
  <c r="G125" i="18" s="1"/>
  <c r="F125" i="17"/>
  <c r="G125" i="17" s="1"/>
  <c r="G79" i="17"/>
  <c r="G104" i="17" s="1"/>
  <c r="F126" i="16"/>
  <c r="G126" i="16" s="1"/>
  <c r="D29" i="39" s="1"/>
  <c r="E29" i="39" s="1"/>
  <c r="F29" i="39" s="1"/>
  <c r="F125" i="16"/>
  <c r="G125" i="16" s="1"/>
  <c r="G75" i="1"/>
  <c r="G79" i="1" s="1"/>
  <c r="G104" i="1" s="1"/>
  <c r="F125" i="1"/>
  <c r="G125" i="1" s="1"/>
  <c r="D17" i="39" s="1"/>
  <c r="E17" i="39" s="1"/>
  <c r="F17" i="39" s="1"/>
  <c r="F126" i="1"/>
  <c r="G126" i="1" s="1"/>
  <c r="D18" i="39" s="1"/>
  <c r="E18" i="39" s="1"/>
  <c r="F18" i="39" s="1"/>
  <c r="F127" i="1"/>
  <c r="G127" i="1" s="1"/>
  <c r="D19" i="39" s="1"/>
  <c r="E19" i="39" s="1"/>
  <c r="F19" i="39" s="1"/>
  <c r="F126" i="18" l="1"/>
  <c r="G126" i="18" s="1"/>
  <c r="D51" i="39" s="1"/>
  <c r="E51" i="39" s="1"/>
  <c r="F51" i="39" s="1"/>
  <c r="F125" i="20"/>
  <c r="G125" i="20" s="1"/>
  <c r="F127" i="20"/>
  <c r="G127" i="20" s="1"/>
  <c r="D74" i="39" s="1"/>
  <c r="E74" i="39" s="1"/>
  <c r="F74" i="39" s="1"/>
  <c r="F126" i="20"/>
  <c r="G126" i="20" s="1"/>
  <c r="D73" i="39" s="1"/>
  <c r="E73" i="39" s="1"/>
  <c r="F73" i="39" s="1"/>
  <c r="G111" i="37"/>
  <c r="G116" i="37" s="1"/>
  <c r="D99" i="39"/>
  <c r="E99" i="39" s="1"/>
  <c r="F99" i="39" s="1"/>
  <c r="F102" i="39" s="1"/>
  <c r="G128" i="37"/>
  <c r="F86" i="39"/>
  <c r="F125" i="22"/>
  <c r="G125" i="22" s="1"/>
  <c r="D6" i="39" s="1"/>
  <c r="E6" i="39" s="1"/>
  <c r="F6" i="39" s="1"/>
  <c r="F127" i="22"/>
  <c r="G127" i="22" s="1"/>
  <c r="D8" i="39" s="1"/>
  <c r="E8" i="39" s="1"/>
  <c r="F8" i="39" s="1"/>
  <c r="G110" i="31"/>
  <c r="G109" i="19"/>
  <c r="G110" i="19"/>
  <c r="G128" i="19"/>
  <c r="D62" i="39"/>
  <c r="E62" i="39" s="1"/>
  <c r="F62" i="39" s="1"/>
  <c r="F64" i="39" s="1"/>
  <c r="D50" i="39"/>
  <c r="E50" i="39" s="1"/>
  <c r="F50" i="39" s="1"/>
  <c r="F53" i="39" s="1"/>
  <c r="G128" i="17"/>
  <c r="D39" i="39"/>
  <c r="E39" i="39" s="1"/>
  <c r="F39" i="39" s="1"/>
  <c r="F42" i="39" s="1"/>
  <c r="G108" i="16"/>
  <c r="G109" i="16"/>
  <c r="G128" i="16"/>
  <c r="D28" i="39"/>
  <c r="E28" i="39" s="1"/>
  <c r="F28" i="39" s="1"/>
  <c r="F31" i="39" s="1"/>
  <c r="F20" i="39"/>
  <c r="G128" i="31"/>
  <c r="G108" i="31"/>
  <c r="G109" i="31"/>
  <c r="G108" i="22"/>
  <c r="G109" i="22"/>
  <c r="G108" i="20"/>
  <c r="G110" i="20"/>
  <c r="G109" i="20"/>
  <c r="G110" i="18"/>
  <c r="G108" i="18"/>
  <c r="G109" i="18"/>
  <c r="G108" i="17"/>
  <c r="G110" i="17"/>
  <c r="G109" i="17"/>
  <c r="G109" i="1"/>
  <c r="G108" i="1"/>
  <c r="G110" i="1"/>
  <c r="G128" i="1"/>
  <c r="G128" i="18" l="1"/>
  <c r="G117" i="37"/>
  <c r="F9" i="39"/>
  <c r="D72" i="39"/>
  <c r="E72" i="39" s="1"/>
  <c r="F72" i="39" s="1"/>
  <c r="F75" i="39" s="1"/>
  <c r="G128" i="20"/>
  <c r="G115" i="37"/>
  <c r="G118" i="37" s="1"/>
  <c r="G120" i="37" s="1"/>
  <c r="D96" i="39" s="1"/>
  <c r="E96" i="39" s="1"/>
  <c r="F96" i="39" s="1"/>
  <c r="F108" i="39" s="1"/>
  <c r="G128" i="22"/>
  <c r="G111" i="16"/>
  <c r="G117" i="16" s="1"/>
  <c r="G111" i="19"/>
  <c r="G117" i="19" s="1"/>
  <c r="G111" i="31"/>
  <c r="G115" i="31" s="1"/>
  <c r="G111" i="22"/>
  <c r="G111" i="18"/>
  <c r="G111" i="20"/>
  <c r="G111" i="17"/>
  <c r="G111" i="1"/>
  <c r="G116" i="1" s="1"/>
  <c r="G116" i="19" l="1"/>
  <c r="G115" i="19"/>
  <c r="G116" i="16"/>
  <c r="G115" i="16"/>
  <c r="G116" i="31"/>
  <c r="F138" i="37"/>
  <c r="G138" i="37" s="1"/>
  <c r="G139" i="37" s="1"/>
  <c r="G141" i="37" s="1"/>
  <c r="G142" i="37" s="1"/>
  <c r="G117" i="31"/>
  <c r="G115" i="22"/>
  <c r="G116" i="22"/>
  <c r="G117" i="22"/>
  <c r="G116" i="18"/>
  <c r="G115" i="18"/>
  <c r="G117" i="18"/>
  <c r="G116" i="20"/>
  <c r="G117" i="20"/>
  <c r="G115" i="20"/>
  <c r="G117" i="17"/>
  <c r="G115" i="17"/>
  <c r="G116" i="17"/>
  <c r="G115" i="1"/>
  <c r="G117" i="1"/>
  <c r="G118" i="19" l="1"/>
  <c r="G120" i="19" s="1"/>
  <c r="D58" i="39" s="1"/>
  <c r="E58" i="39" s="1"/>
  <c r="F58" i="39" s="1"/>
  <c r="F65" i="39" s="1"/>
  <c r="G118" i="16"/>
  <c r="G120" i="16" s="1"/>
  <c r="F132" i="16" s="1"/>
  <c r="G132" i="16" s="1"/>
  <c r="G133" i="16" s="1"/>
  <c r="G135" i="16" s="1"/>
  <c r="G136" i="16" s="1"/>
  <c r="G118" i="31"/>
  <c r="G120" i="31" s="1"/>
  <c r="D80" i="39" s="1"/>
  <c r="E80" i="39" s="1"/>
  <c r="F80" i="39" s="1"/>
  <c r="F92" i="39" s="1"/>
  <c r="G118" i="18"/>
  <c r="G120" i="18" s="1"/>
  <c r="G118" i="1"/>
  <c r="G120" i="1" s="1"/>
  <c r="G118" i="22"/>
  <c r="G118" i="20"/>
  <c r="G120" i="20" s="1"/>
  <c r="G118" i="17"/>
  <c r="G120" i="17" s="1"/>
  <c r="F138" i="31" l="1"/>
  <c r="G138" i="31" s="1"/>
  <c r="G139" i="31" s="1"/>
  <c r="G141" i="31" s="1"/>
  <c r="G142" i="31" s="1"/>
  <c r="F132" i="19"/>
  <c r="G132" i="19" s="1"/>
  <c r="G133" i="19" s="1"/>
  <c r="G135" i="19" s="1"/>
  <c r="G136" i="19" s="1"/>
  <c r="D14" i="39"/>
  <c r="E14" i="39" s="1"/>
  <c r="F14" i="39" s="1"/>
  <c r="F21" i="39" s="1"/>
  <c r="D25" i="39"/>
  <c r="E25" i="39" s="1"/>
  <c r="F25" i="39" s="1"/>
  <c r="F32" i="39" s="1"/>
  <c r="F132" i="20"/>
  <c r="G132" i="20" s="1"/>
  <c r="G133" i="20" s="1"/>
  <c r="G135" i="20" s="1"/>
  <c r="G136" i="20" s="1"/>
  <c r="D69" i="39"/>
  <c r="E69" i="39" s="1"/>
  <c r="F69" i="39" s="1"/>
  <c r="F76" i="39" s="1"/>
  <c r="F132" i="18"/>
  <c r="G132" i="18" s="1"/>
  <c r="G133" i="18" s="1"/>
  <c r="G135" i="18" s="1"/>
  <c r="G136" i="18" s="1"/>
  <c r="D47" i="39"/>
  <c r="E47" i="39" s="1"/>
  <c r="F47" i="39" s="1"/>
  <c r="F54" i="39" s="1"/>
  <c r="F132" i="17"/>
  <c r="G132" i="17" s="1"/>
  <c r="G133" i="17" s="1"/>
  <c r="G135" i="17" s="1"/>
  <c r="G136" i="17" s="1"/>
  <c r="D36" i="39"/>
  <c r="E36" i="39" s="1"/>
  <c r="F36" i="39" s="1"/>
  <c r="F43" i="39" s="1"/>
  <c r="G120" i="22"/>
  <c r="F132" i="1"/>
  <c r="G132" i="1" s="1"/>
  <c r="D3" i="39" l="1"/>
  <c r="E3" i="39" s="1"/>
  <c r="F3" i="39" s="1"/>
  <c r="F10" i="39" s="1"/>
  <c r="F110" i="39" s="1"/>
  <c r="F132" i="22"/>
  <c r="G132" i="22" s="1"/>
  <c r="G133" i="22" s="1"/>
  <c r="G135" i="22" s="1"/>
  <c r="G136" i="22" s="1"/>
  <c r="G133" i="1"/>
  <c r="G135" i="1" s="1"/>
  <c r="G136" i="1" s="1"/>
</calcChain>
</file>

<file path=xl/comments1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2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3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4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5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6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7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8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comments9.xml><?xml version="1.0" encoding="utf-8"?>
<comments xmlns="http://schemas.openxmlformats.org/spreadsheetml/2006/main">
  <authors>
    <author>Jurídico</author>
  </authors>
  <commentList>
    <comment ref="A127" authorId="0" shapeId="0">
      <text>
        <r>
          <rPr>
            <b/>
            <sz val="9"/>
            <color indexed="81"/>
            <rFont val="Segoe UI"/>
            <family val="2"/>
          </rPr>
          <t>Após 22hs</t>
        </r>
      </text>
    </comment>
  </commentList>
</comments>
</file>

<file path=xl/sharedStrings.xml><?xml version="1.0" encoding="utf-8"?>
<sst xmlns="http://schemas.openxmlformats.org/spreadsheetml/2006/main" count="2311" uniqueCount="231">
  <si>
    <t>PLANILHA DE CUSTOS E FORMAÇÃO DE PREÇOS</t>
  </si>
  <si>
    <t>PRESTAÇÃO DE SERVIÇOS DE MOTORISTA EXECUTIVO</t>
  </si>
  <si>
    <t>Razão Social:</t>
  </si>
  <si>
    <t>CNPJ:</t>
  </si>
  <si>
    <t>Pregão n°:</t>
  </si>
  <si>
    <t>Data:</t>
  </si>
  <si>
    <t>DISCRIMINAÇÃO DOS SERVIÇOS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</si>
  <si>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</si>
  <si>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</si>
  <si>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</si>
  <si>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</si>
  <si>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</si>
  <si>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</si>
  <si>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</si>
  <si>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t>No. Registro acordo convenção coletiva</t>
  </si>
  <si>
    <t>E</t>
  </si>
  <si>
    <r>
      <t>N</t>
    </r>
    <r>
      <rPr>
        <strike/>
        <sz val="8"/>
        <rFont val="Arial"/>
        <family val="2"/>
      </rPr>
      <t>º</t>
    </r>
    <r>
      <rPr>
        <sz val="8"/>
        <rFont val="Arial"/>
        <family val="2"/>
      </rPr>
      <t xml:space="preserve"> de meses de execução contratual</t>
    </r>
  </si>
  <si>
    <t>60 meses</t>
  </si>
  <si>
    <t>IDENTIFICAÇÃO DO SERVIÇO</t>
  </si>
  <si>
    <t>Unidade</t>
  </si>
  <si>
    <t>Tipo de Serviço</t>
  </si>
  <si>
    <t>Quantidade a contratar</t>
  </si>
  <si>
    <t>Postos</t>
  </si>
  <si>
    <t>Servente de Limpeza</t>
  </si>
  <si>
    <t>DADOS COMPLEMENTARES PARA CUSTOS REFERENTES À MÃO DE OBRA</t>
  </si>
  <si>
    <t>Salário Normativo da categoria Profissional Vigente</t>
  </si>
  <si>
    <t>Categoria profissional</t>
  </si>
  <si>
    <t>Data-base da categoria</t>
  </si>
  <si>
    <t>01/01/2022</t>
  </si>
  <si>
    <t>MÓDULO 1 - COMPOSIÇÃO DA REMUNERAÇÃO</t>
  </si>
  <si>
    <t>Composição da Remuneração:</t>
  </si>
  <si>
    <t>%</t>
  </si>
  <si>
    <t>Valor (R$)</t>
  </si>
  <si>
    <t>Salário Base</t>
  </si>
  <si>
    <t>Adicionais (especificar)</t>
  </si>
  <si>
    <t>*Adicionais de horas extras e noturno extra em planilha à parte</t>
  </si>
  <si>
    <t xml:space="preserve">Valor Total da Remuneração: </t>
  </si>
  <si>
    <t>MÓDULO 2 - ENCARGOS SOCIAIS E TRABALHISTAS INCIDENTES SOBRE A REMUNERAÇÃO</t>
  </si>
  <si>
    <t>Grupo 2.1</t>
  </si>
  <si>
    <t>Encargos Previdenciários e FGTS</t>
  </si>
  <si>
    <t>INSS</t>
  </si>
  <si>
    <t>SESI ou SESC</t>
  </si>
  <si>
    <t>SENAI ou SENAC</t>
  </si>
  <si>
    <t>INCRA</t>
  </si>
  <si>
    <t>Salário educação</t>
  </si>
  <si>
    <t>F</t>
  </si>
  <si>
    <t>FGTS</t>
  </si>
  <si>
    <t>G</t>
  </si>
  <si>
    <r>
      <t xml:space="preserve">RAT (Risco Ambiental do Trabalho) x FAP </t>
    </r>
    <r>
      <rPr>
        <sz val="8"/>
        <color indexed="10"/>
        <rFont val="Arial"/>
        <family val="2"/>
      </rPr>
      <t>(no máximo 2,00%)</t>
    </r>
  </si>
  <si>
    <t>H</t>
  </si>
  <si>
    <t>SEBRAE</t>
  </si>
  <si>
    <t xml:space="preserve">Valor Total dos encargos previdenciários e FGTS: </t>
  </si>
  <si>
    <t>Grupo 2.2</t>
  </si>
  <si>
    <t>13º Salário e Afastamentos</t>
  </si>
  <si>
    <t>13º Salário</t>
  </si>
  <si>
    <t>Férias</t>
  </si>
  <si>
    <t>Adicional de férias (1/3)</t>
  </si>
  <si>
    <t>Aviso prévio trabalhado *(1)</t>
  </si>
  <si>
    <t>Ausência por doença *(2)</t>
  </si>
  <si>
    <t>Licença Paternidade *(3)</t>
  </si>
  <si>
    <t>Ausências Legais *(4)</t>
  </si>
  <si>
    <t>Ausência por acidente de trabalho *(5)</t>
  </si>
  <si>
    <t>J</t>
  </si>
  <si>
    <t>Outros (especificar)</t>
  </si>
  <si>
    <t xml:space="preserve">Subtotal: </t>
  </si>
  <si>
    <t>K</t>
  </si>
  <si>
    <t>Incidência do grupo 2.1 sobre o grupo 2.2</t>
  </si>
  <si>
    <t xml:space="preserve">Valor total do 13º Salário e Afastamentos: </t>
  </si>
  <si>
    <t>Grupo 2.3</t>
  </si>
  <si>
    <t xml:space="preserve">Afastamento Maternidade </t>
  </si>
  <si>
    <t>Afastamento Maternidade *(6)</t>
  </si>
  <si>
    <t>Férias sobre licença maternidade *(7)</t>
  </si>
  <si>
    <t>Incidência do grupo 2.1 sobre o grupo 2.3</t>
  </si>
  <si>
    <t xml:space="preserve">Valor total do Afastamento Maternidade: </t>
  </si>
  <si>
    <t>Grupo 2.4</t>
  </si>
  <si>
    <t>Provisão para Rescisão</t>
  </si>
  <si>
    <t>Aviso Prévio Indenizado *(8)</t>
  </si>
  <si>
    <t>Indenização Adicional *(9)</t>
  </si>
  <si>
    <t>Indenização (rescisão sem justa causa - multa de 40% do FGTS) *(10)</t>
  </si>
  <si>
    <t>Indenização (rescisão sem justa causa - contribuição de 10% do FGTS) *(11)</t>
  </si>
  <si>
    <t>Incidência do FGTS sobre o aviso prévio indenizado</t>
  </si>
  <si>
    <t>Incidência do FGTS sobre o período médio de afastamento superior a 15 dias motivado por acidente de trabalho</t>
  </si>
  <si>
    <t xml:space="preserve">Valor total da Provisão para Rescisão: </t>
  </si>
  <si>
    <t>QUADRO RESUMO - ENCARGOS SOCIAIS E TRABALHISTAS</t>
  </si>
  <si>
    <t>Encargos Sociais e Trabalhistas</t>
  </si>
  <si>
    <t>2.1</t>
  </si>
  <si>
    <t>2.2</t>
  </si>
  <si>
    <t>2.3</t>
  </si>
  <si>
    <t>Afastamento Maternidade</t>
  </si>
  <si>
    <t>2.4</t>
  </si>
  <si>
    <t xml:space="preserve">Valor Total de encargos sociais e trabalhistas: </t>
  </si>
  <si>
    <t>MÓDULO 3 - BENEFÍCIOS MENSAIS E DIÁRIOS</t>
  </si>
  <si>
    <t>Benefícios Mensais e Diários (deduzida parcela do empregado)</t>
  </si>
  <si>
    <t>Transporte</t>
  </si>
  <si>
    <t>A1</t>
  </si>
  <si>
    <t xml:space="preserve">Auxílio alimentação </t>
  </si>
  <si>
    <t>B1</t>
  </si>
  <si>
    <t>Assistência médica e Familiar</t>
  </si>
  <si>
    <t>Auxílio creche</t>
  </si>
  <si>
    <t xml:space="preserve">Seguro de vida </t>
  </si>
  <si>
    <t>Auxílio Funeral</t>
  </si>
  <si>
    <t>Cesta Básica</t>
  </si>
  <si>
    <t>Assistência odontológica</t>
  </si>
  <si>
    <t>I</t>
  </si>
  <si>
    <t xml:space="preserve">Valor Total de benefícios mensais e diários: </t>
  </si>
  <si>
    <t>MÓDULO 4 - INSUMOS DIVERSOS</t>
  </si>
  <si>
    <t>Insumos Diversos</t>
  </si>
  <si>
    <t>Uniformes</t>
  </si>
  <si>
    <t>EPIs</t>
  </si>
  <si>
    <t>Equipamentos (ponto eletrônico, outros)</t>
  </si>
  <si>
    <t xml:space="preserve">Valor Total de insumos diversos: </t>
  </si>
  <si>
    <t>VALOR TOTAL DE REMUNERAÇÃO + ENCARGOS SOCIAIS + BENEFÍCIOS + INSUMOS</t>
  </si>
  <si>
    <t>MÓDULO 5 - BONIFICAÇÃO E OUTRAS DESPESAS</t>
  </si>
  <si>
    <t>Bonificações e outras despesas</t>
  </si>
  <si>
    <t>LDI - Lucro e Despesas Indiretas</t>
  </si>
  <si>
    <t>Despesas Administrativas / Operacionais</t>
  </si>
  <si>
    <t>Outras despesas (especificar)</t>
  </si>
  <si>
    <t xml:space="preserve">Valor Total de bonificações e outras despesas: </t>
  </si>
  <si>
    <t>MÓDULO 6 - TRIBUTAÇÃO SOBRE O FATURAMENTO</t>
  </si>
  <si>
    <t>Tributos</t>
  </si>
  <si>
    <t>ISS</t>
  </si>
  <si>
    <t>PIS</t>
  </si>
  <si>
    <t>COFINS</t>
  </si>
  <si>
    <t xml:space="preserve">Valor Total dos tributos: </t>
  </si>
  <si>
    <t>VALOR MENSAL TOTAL POR EMPREGADO</t>
  </si>
  <si>
    <t>7 - PREVISÃO DE ADICIONAL NOTURNO E DE HORAS EXTRAS ANUAL</t>
  </si>
  <si>
    <t>Benefício</t>
  </si>
  <si>
    <t>Previsão (hs) / ano</t>
  </si>
  <si>
    <t>Adicional</t>
  </si>
  <si>
    <t>Valor Base</t>
  </si>
  <si>
    <t xml:space="preserve">Valor com Encargos </t>
  </si>
  <si>
    <t>Valor com Impostos</t>
  </si>
  <si>
    <t>A - Hora extra (dias úteis)</t>
  </si>
  <si>
    <t>B - Hora extra (repouso/feriado)</t>
  </si>
  <si>
    <t>C - Hora extra noturna</t>
  </si>
  <si>
    <t xml:space="preserve">Valor Total de Adicional Noturno e de Horas Extras: </t>
  </si>
  <si>
    <t>QUADRO RESUMO DO VALOR MENSAL DO SERVIÇO</t>
  </si>
  <si>
    <t>ITEM</t>
  </si>
  <si>
    <t>DESCRIÇÃO</t>
  </si>
  <si>
    <t>QUANT. DE EMPREGADO PARA O SERVIÇO</t>
  </si>
  <si>
    <t>VALOR PROPOSTO POR EMPREGADO</t>
  </si>
  <si>
    <t>VALOR TOTAL DO SERVIÇO</t>
  </si>
  <si>
    <t>VALOR ANUAL DO SERVIÇO</t>
  </si>
  <si>
    <t>VALOR TOTAL ANUAL DO SERVIÇO COM HORAS EXTRAS, NOTURNAS E DIÁRIAS/INDENIZAÇÕES</t>
  </si>
  <si>
    <t>VALOR TOTAL CONTRATUAL DO SERVIÇO COM HORAS EXTRAS, NOTURNAS E DIÁRIAS/INDENIZAÇÕES</t>
  </si>
  <si>
    <t xml:space="preserve"> *(1) Redução de 7 dias ou de 2h por dia. (Percentual relativo a contrato de 12 meses</t>
  </si>
  <si>
    <t>*(2) Estimativa de 5 dias de licença por ano</t>
  </si>
  <si>
    <t>*(3) Estimativa de 1,5% dos funcionários usufruindo 5 dias de licença por ano</t>
  </si>
  <si>
    <t>*(4) Estimativa de 1 ausência por ano</t>
  </si>
  <si>
    <t>*(5) Estimativa de 1 licença de 15 dias por ano para 8% dos funcionários</t>
  </si>
  <si>
    <t>*(6) Estimativa de 2% dos funcionários usufruindo de 4 meses de licença por ano</t>
  </si>
  <si>
    <t>*(7) Estimativa de 2% dos funcionários usufruindo de 4 meses de licença por ano</t>
  </si>
  <si>
    <t xml:space="preserve"> *(8) Estimativa de que 5% dos funcionários serão substituídos em um ano.</t>
  </si>
  <si>
    <t xml:space="preserve"> *(9) Estimativa de que 2% dos funcionários serão demitidos com indenização adicional.</t>
  </si>
  <si>
    <t xml:space="preserve"> *(10) Multa de 40% do FGTS em relação aos trabalhadores contratados.</t>
  </si>
  <si>
    <t xml:space="preserve"> *(11) Contribuição de 10% do FGTS em relação aos trabalhadores contratados.</t>
  </si>
  <si>
    <t>Servente de Limpeza - Museu Histórico</t>
  </si>
  <si>
    <t>Auxiliar de Manutenção Predial</t>
  </si>
  <si>
    <t>Recepcionista</t>
  </si>
  <si>
    <t>Assistente Administrativo I</t>
  </si>
  <si>
    <t>Assistente Administrativo - Museu Histórico</t>
  </si>
  <si>
    <t>Copeiro</t>
  </si>
  <si>
    <t>Motorista Executivo I</t>
  </si>
  <si>
    <t>8 - PREVISÃO DE DIÁRIAS E INDENIZAÇÃO DE ALIMENTAÇÃO ANUAL</t>
  </si>
  <si>
    <t>Antecipações</t>
  </si>
  <si>
    <t>Previsão Anual</t>
  </si>
  <si>
    <t>Valor Médio</t>
  </si>
  <si>
    <t>Valor Total</t>
  </si>
  <si>
    <t>Indenização de Alimentação</t>
  </si>
  <si>
    <t>Diária</t>
  </si>
  <si>
    <t xml:space="preserve">Valor Total de previsão de diárias e indenização de alimentação: </t>
  </si>
  <si>
    <t>ITEM 1</t>
  </si>
  <si>
    <t>CARGA HORÁRIA</t>
  </si>
  <si>
    <t>QTDE.</t>
  </si>
  <si>
    <t>VALOR MENSAL (ESTIMADO)</t>
  </si>
  <si>
    <t>VALOR ANUAL (ESTIMADO)</t>
  </si>
  <si>
    <t>VALOR TOTAL (POSTO)
VIGÊNCIA 60 MESES</t>
  </si>
  <si>
    <t>150h</t>
  </si>
  <si>
    <t>HORAS EXTRAS</t>
  </si>
  <si>
    <t>MODALIDADE DE HORA EXTRA</t>
  </si>
  <si>
    <t>ESTIMADO (ANUAL)</t>
  </si>
  <si>
    <t>VALOR</t>
  </si>
  <si>
    <t>SUBTOTAL</t>
  </si>
  <si>
    <t xml:space="preserve">VALOR TOTAL
(HORAS EXTRAS)
VIGÊNCIA 60 MESES </t>
  </si>
  <si>
    <t>Hora Extra (dias úteis)</t>
  </si>
  <si>
    <t>Hora Extra noturna</t>
  </si>
  <si>
    <t>Hora Extra DSR/feriado</t>
  </si>
  <si>
    <t>Total da estimativa de horas extras</t>
  </si>
  <si>
    <t>VALOR GLOBAL ITEM 1: VALOR TOTAL (POSTO) 60 MESES + VALOR TOTAL HORAS EXTRAS 60 MESES</t>
  </si>
  <si>
    <t>ITEM 2</t>
  </si>
  <si>
    <t>Servente de limpeza 1
(incluindo serviços de higienização de sanitários de uso público ou coletivo de grande circulação).</t>
  </si>
  <si>
    <t>ESTIMADO ANUAL</t>
  </si>
  <si>
    <t>VALOR TOTAL
(HORAS EXTRAS)
VIGÊNCIA 60 MESES</t>
  </si>
  <si>
    <t>VALOR GLOBAL ITEM 2: VALOR TOTAL (POSTO) 60 MESES + VALOR TOTAL HORAS EXTRAS 60 MESES</t>
  </si>
  <si>
    <t>ITEM 3</t>
  </si>
  <si>
    <t>Servente de limpeza 2
(com pagamento de insalubridade para atuação no Museu Histórico Tuany Toledo)</t>
  </si>
  <si>
    <t>VALOR GLOBAL ITEM 3: VALOR TOTAL (POSTO) 60 MESES + VALOR TOTAL HORAS EXTRAS 60 MESES</t>
  </si>
  <si>
    <t>ITEM 4</t>
  </si>
  <si>
    <t>VALOR TOTAL
(POSTO)
VIGÊNCIA 60 MESES</t>
  </si>
  <si>
    <t>VALOR GLOBAL ITEM 4: VALOR TOTAL (POSTO) 60 MESES + VALOR TOTAL HORAS EXTRAS 60 MESES</t>
  </si>
  <si>
    <t>ITEM 5</t>
  </si>
  <si>
    <t>VALOR GLOBAL ITEM 5: VALOR TOTAL (POSTO) 60 MESES + VALOR TOTAL HORAS EXTRAS 60 MESES</t>
  </si>
  <si>
    <t>ITEM 6</t>
  </si>
  <si>
    <t>VALOR GLOBAL ITEM 6: VALOR TOTAL (POSTO) 60 MESES + VALOR TOTAL HORAS EXTRAS 60 MESES</t>
  </si>
  <si>
    <t>ITEM 7</t>
  </si>
  <si>
    <t>Assistente Administrativo II
(com insalubridade para atuação no Museu histórico Tuany Toledo)</t>
  </si>
  <si>
    <t>VALOR GLOBAL ITEM 7: VALOR TOTAL (POSTO) 60 MESES + VALOR TOTAL HORAS EXTRAS 60 MESES</t>
  </si>
  <si>
    <t>ITEM 8</t>
  </si>
  <si>
    <t>200h</t>
  </si>
  <si>
    <t>ITEM 9</t>
  </si>
  <si>
    <t>Motorista Executivo II
(adicional de periculosidade)</t>
  </si>
  <si>
    <t>DIÁRIAS E INDENIZAÇÃO DE ALIMENTAÇÃO</t>
  </si>
  <si>
    <t>ANTECIPAÇÕES</t>
  </si>
  <si>
    <t>VALOR TOTAL
(DIÁRIAS)
VIGÊNCIA 60 MESES</t>
  </si>
  <si>
    <t>INDENIZAÇÃO DE ALIMENTAÇÃO</t>
  </si>
  <si>
    <t>DIÁRIA</t>
  </si>
  <si>
    <t>Total da estimativa de diárias</t>
  </si>
  <si>
    <t>VALOR GLOBAL ITEM 8: VALOR TOTAL (POSTO) 60 MESES + VALOR TOTAL HORAS EXTRAS + VALOR TOTAL DE DIÁRIAS  60 MESES</t>
  </si>
  <si>
    <t>VALOR GLOBAL ITEM 9: VALOR TOTAL (POSTO) 60 MESES + VALOR TOTAL HORAS EXTRAS + VALOR TOTAL DE DIÁRIAS  60 MESES</t>
  </si>
  <si>
    <t>VALOR CONTRATUAL TOTAL DOS SERVIÇO COM HORAS EXTRAS, NOTURNAS E DIÁRIAS/INDENIZAÇÕES</t>
  </si>
  <si>
    <t>Salário-mínimo vigente</t>
  </si>
  <si>
    <t>Adicional de insalubridade</t>
  </si>
  <si>
    <t>Adicional de periculosidade</t>
  </si>
  <si>
    <r>
      <t xml:space="preserve">Desconto legal sobre transporte </t>
    </r>
    <r>
      <rPr>
        <sz val="8"/>
        <color rgb="FFFF0000"/>
        <rFont val="Arial"/>
        <family val="2"/>
      </rPr>
      <t>(máximo de 6% sobre o salário base)</t>
    </r>
  </si>
  <si>
    <r>
      <t xml:space="preserve">Desconto Legal sobre auxilio alimentação </t>
    </r>
    <r>
      <rPr>
        <sz val="8"/>
        <color rgb="FFFF0000"/>
        <rFont val="Arial"/>
        <family val="2"/>
      </rPr>
      <t>(até 20%)</t>
    </r>
  </si>
  <si>
    <r>
      <t>Desconto Legal sobre auxilio alimentação</t>
    </r>
    <r>
      <rPr>
        <sz val="8"/>
        <color rgb="FFFF0000"/>
        <rFont val="Arial"/>
        <family val="2"/>
      </rPr>
      <t xml:space="preserve"> (até 20%)</t>
    </r>
  </si>
  <si>
    <r>
      <t>Desconto legal sobre transporte</t>
    </r>
    <r>
      <rPr>
        <sz val="8"/>
        <color rgb="FFFF0000"/>
        <rFont val="Arial"/>
        <family val="2"/>
      </rPr>
      <t xml:space="preserve"> (máximo de 6% sobre o salário base)</t>
    </r>
  </si>
  <si>
    <t>Pouso Alegre - MG</t>
  </si>
  <si>
    <t>MG002253/2022</t>
  </si>
  <si>
    <t>2022</t>
  </si>
  <si>
    <t>MG000231/2022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</si>
</sst>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0.000%"/>
    <numFmt numFmtId="166" formatCode="_(* #,##0.000_);_(* \(#,##0.000\);_(* &quot;-&quot;???_);_(@_)"/>
    <numFmt numFmtId="167" formatCode="_(&quot;R$ &quot;* #,##0.00_);_(&quot;R$ &quot;* \(#,##0.00\);_(&quot;R$ &quot;* \-??_);_(@_)"/>
    <numFmt numFmtId="168" formatCode="_(* #,##0.00_);_(* \(#,##0.00\);_(* &quot;-&quot;??_);_(@_)"/>
    <numFmt numFmtId="169" formatCode="&quot;R$ 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9"/>
      <color indexed="81"/>
      <name val="Segoe U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2">
    <xf numFmtId="0" fontId="0" fillId="0" borderId="0" xfId="0"/>
    <xf numFmtId="0" fontId="4" fillId="2" borderId="0" xfId="3" applyFont="1" applyFill="1"/>
    <xf numFmtId="0" fontId="5" fillId="0" borderId="5" xfId="3" applyFont="1" applyFill="1" applyBorder="1" applyAlignment="1">
      <alignment horizontal="center" vertical="top" wrapText="1"/>
    </xf>
    <xf numFmtId="0" fontId="5" fillId="0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top" wrapText="1"/>
    </xf>
    <xf numFmtId="0" fontId="5" fillId="4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 vertical="center" wrapText="1"/>
    </xf>
    <xf numFmtId="9" fontId="5" fillId="0" borderId="6" xfId="3" applyNumberFormat="1" applyFont="1" applyFill="1" applyBorder="1" applyAlignment="1">
      <alignment horizontal="center"/>
    </xf>
    <xf numFmtId="44" fontId="5" fillId="0" borderId="7" xfId="5" applyFont="1" applyFill="1" applyBorder="1" applyAlignment="1" applyProtection="1">
      <alignment horizontal="center"/>
    </xf>
    <xf numFmtId="10" fontId="5" fillId="0" borderId="6" xfId="3" applyNumberFormat="1" applyFont="1" applyFill="1" applyBorder="1" applyAlignment="1">
      <alignment horizontal="center"/>
    </xf>
    <xf numFmtId="44" fontId="3" fillId="5" borderId="7" xfId="5" applyFont="1" applyFill="1" applyBorder="1" applyAlignment="1" applyProtection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165" fontId="5" fillId="0" borderId="6" xfId="6" applyNumberFormat="1" applyFont="1" applyFill="1" applyBorder="1" applyAlignment="1" applyProtection="1">
      <alignment horizontal="center"/>
    </xf>
    <xf numFmtId="165" fontId="5" fillId="4" borderId="6" xfId="6" applyNumberFormat="1" applyFont="1" applyFill="1" applyBorder="1" applyAlignment="1" applyProtection="1">
      <alignment horizontal="center"/>
    </xf>
    <xf numFmtId="165" fontId="3" fillId="5" borderId="6" xfId="6" applyNumberFormat="1" applyFont="1" applyFill="1" applyBorder="1" applyAlignment="1" applyProtection="1">
      <alignment horizontal="center"/>
    </xf>
    <xf numFmtId="167" fontId="5" fillId="0" borderId="7" xfId="3" applyNumberFormat="1" applyFont="1" applyFill="1" applyBorder="1" applyAlignment="1">
      <alignment horizontal="center"/>
    </xf>
    <xf numFmtId="165" fontId="4" fillId="0" borderId="6" xfId="6" applyNumberFormat="1" applyFont="1" applyFill="1" applyBorder="1" applyAlignment="1" applyProtection="1">
      <alignment horizontal="center"/>
    </xf>
    <xf numFmtId="165" fontId="3" fillId="0" borderId="6" xfId="6" applyNumberFormat="1" applyFont="1" applyFill="1" applyBorder="1" applyAlignment="1" applyProtection="1">
      <alignment horizontal="center"/>
    </xf>
    <xf numFmtId="44" fontId="3" fillId="0" borderId="7" xfId="5" applyFont="1" applyFill="1" applyBorder="1" applyAlignment="1" applyProtection="1">
      <alignment horizontal="center"/>
    </xf>
    <xf numFmtId="165" fontId="3" fillId="5" borderId="6" xfId="3" applyNumberFormat="1" applyFont="1" applyFill="1" applyBorder="1" applyAlignment="1">
      <alignment horizontal="center"/>
    </xf>
    <xf numFmtId="165" fontId="5" fillId="0" borderId="6" xfId="3" applyNumberFormat="1" applyFont="1" applyFill="1" applyBorder="1" applyAlignment="1">
      <alignment horizontal="center"/>
    </xf>
    <xf numFmtId="165" fontId="3" fillId="0" borderId="6" xfId="3" applyNumberFormat="1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 vertical="center"/>
    </xf>
    <xf numFmtId="165" fontId="5" fillId="0" borderId="6" xfId="3" applyNumberFormat="1" applyFont="1" applyFill="1" applyBorder="1" applyAlignment="1">
      <alignment horizontal="center" vertical="center"/>
    </xf>
    <xf numFmtId="44" fontId="5" fillId="0" borderId="7" xfId="5" applyFont="1" applyFill="1" applyBorder="1" applyAlignment="1" applyProtection="1">
      <alignment horizontal="center" vertical="center"/>
    </xf>
    <xf numFmtId="0" fontId="5" fillId="0" borderId="26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/>
    </xf>
    <xf numFmtId="0" fontId="5" fillId="0" borderId="28" xfId="3" applyFont="1" applyFill="1" applyBorder="1" applyAlignment="1">
      <alignment horizontal="center"/>
    </xf>
    <xf numFmtId="165" fontId="5" fillId="0" borderId="26" xfId="3" applyNumberFormat="1" applyFont="1" applyFill="1" applyBorder="1" applyAlignment="1">
      <alignment horizontal="center" vertical="center"/>
    </xf>
    <xf numFmtId="167" fontId="5" fillId="0" borderId="27" xfId="3" applyNumberFormat="1" applyFont="1" applyFill="1" applyBorder="1" applyAlignment="1">
      <alignment horizontal="center" vertical="center"/>
    </xf>
    <xf numFmtId="167" fontId="3" fillId="5" borderId="7" xfId="3" applyNumberFormat="1" applyFont="1" applyFill="1" applyBorder="1" applyAlignment="1">
      <alignment horizontal="center"/>
    </xf>
    <xf numFmtId="44" fontId="3" fillId="5" borderId="34" xfId="5" applyFont="1" applyFill="1" applyBorder="1" applyAlignment="1" applyProtection="1">
      <alignment horizontal="center"/>
    </xf>
    <xf numFmtId="44" fontId="5" fillId="4" borderId="7" xfId="5" applyFont="1" applyFill="1" applyBorder="1" applyAlignment="1" applyProtection="1">
      <alignment horizontal="center"/>
    </xf>
    <xf numFmtId="165" fontId="7" fillId="5" borderId="6" xfId="2" applyNumberFormat="1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 vertical="center"/>
    </xf>
    <xf numFmtId="167" fontId="5" fillId="0" borderId="7" xfId="3" applyNumberFormat="1" applyFont="1" applyFill="1" applyBorder="1" applyAlignment="1">
      <alignment horizontal="center" vertical="center"/>
    </xf>
    <xf numFmtId="167" fontId="3" fillId="5" borderId="7" xfId="3" applyNumberFormat="1" applyFont="1" applyFill="1" applyBorder="1" applyAlignment="1">
      <alignment horizontal="center" vertical="center"/>
    </xf>
    <xf numFmtId="44" fontId="3" fillId="5" borderId="44" xfId="5" applyFont="1" applyFill="1" applyBorder="1" applyAlignment="1" applyProtection="1">
      <alignment horizontal="center"/>
    </xf>
    <xf numFmtId="0" fontId="5" fillId="0" borderId="6" xfId="3" applyFont="1" applyFill="1" applyBorder="1" applyAlignment="1">
      <alignment horizontal="center"/>
    </xf>
    <xf numFmtId="44" fontId="5" fillId="0" borderId="6" xfId="3" applyNumberFormat="1" applyFont="1" applyFill="1" applyBorder="1"/>
    <xf numFmtId="44" fontId="5" fillId="0" borderId="7" xfId="3" applyNumberFormat="1" applyFont="1" applyFill="1" applyBorder="1"/>
    <xf numFmtId="0" fontId="5" fillId="0" borderId="42" xfId="3" applyFont="1" applyFill="1" applyBorder="1" applyAlignment="1">
      <alignment horizontal="center"/>
    </xf>
    <xf numFmtId="9" fontId="5" fillId="0" borderId="42" xfId="3" applyNumberFormat="1" applyFont="1" applyFill="1" applyBorder="1" applyAlignment="1">
      <alignment horizontal="center"/>
    </xf>
    <xf numFmtId="44" fontId="5" fillId="0" borderId="42" xfId="3" applyNumberFormat="1" applyFont="1" applyFill="1" applyBorder="1"/>
    <xf numFmtId="44" fontId="5" fillId="0" borderId="43" xfId="3" applyNumberFormat="1" applyFont="1" applyFill="1" applyBorder="1"/>
    <xf numFmtId="0" fontId="5" fillId="2" borderId="0" xfId="3" applyFont="1" applyFill="1"/>
    <xf numFmtId="0" fontId="5" fillId="0" borderId="52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169" fontId="3" fillId="7" borderId="48" xfId="3" applyNumberFormat="1" applyFont="1" applyFill="1" applyBorder="1" applyAlignment="1">
      <alignment horizontal="center"/>
    </xf>
    <xf numFmtId="44" fontId="4" fillId="2" borderId="0" xfId="1" applyFont="1" applyFill="1"/>
    <xf numFmtId="0" fontId="5" fillId="2" borderId="0" xfId="3" applyFont="1" applyFill="1" applyBorder="1" applyAlignment="1">
      <alignment horizontal="center"/>
    </xf>
    <xf numFmtId="169" fontId="3" fillId="2" borderId="0" xfId="3" applyNumberFormat="1" applyFont="1" applyFill="1" applyBorder="1" applyAlignment="1">
      <alignment horizontal="center"/>
    </xf>
    <xf numFmtId="166" fontId="5" fillId="2" borderId="0" xfId="3" applyNumberFormat="1" applyFont="1" applyFill="1"/>
    <xf numFmtId="44" fontId="5" fillId="2" borderId="0" xfId="3" applyNumberFormat="1" applyFont="1" applyFill="1"/>
    <xf numFmtId="0" fontId="11" fillId="2" borderId="0" xfId="3" applyFont="1" applyFill="1"/>
    <xf numFmtId="0" fontId="5" fillId="2" borderId="0" xfId="3" applyFont="1" applyFill="1" applyBorder="1" applyAlignment="1"/>
    <xf numFmtId="44" fontId="11" fillId="2" borderId="0" xfId="3" applyNumberFormat="1" applyFont="1" applyFill="1"/>
    <xf numFmtId="0" fontId="5" fillId="2" borderId="0" xfId="3" applyFont="1" applyFill="1" applyBorder="1" applyAlignment="1">
      <alignment horizontal="center"/>
    </xf>
    <xf numFmtId="0" fontId="12" fillId="0" borderId="0" xfId="0" applyFont="1"/>
    <xf numFmtId="0" fontId="13" fillId="2" borderId="0" xfId="3" applyFont="1" applyFill="1"/>
    <xf numFmtId="168" fontId="5" fillId="2" borderId="0" xfId="3" applyNumberFormat="1" applyFont="1" applyFill="1"/>
    <xf numFmtId="0" fontId="5" fillId="2" borderId="0" xfId="3" applyFont="1" applyFill="1" applyBorder="1"/>
    <xf numFmtId="0" fontId="4" fillId="0" borderId="0" xfId="3" applyFont="1" applyFill="1"/>
    <xf numFmtId="0" fontId="5" fillId="2" borderId="0" xfId="0" applyFont="1" applyFill="1"/>
    <xf numFmtId="169" fontId="3" fillId="7" borderId="48" xfId="3" applyNumberFormat="1" applyFont="1" applyFill="1" applyBorder="1" applyAlignment="1">
      <alignment horizontal="center"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0" fontId="14" fillId="2" borderId="0" xfId="3" applyFont="1" applyFill="1"/>
    <xf numFmtId="0" fontId="14" fillId="0" borderId="0" xfId="3" applyFont="1" applyFill="1"/>
    <xf numFmtId="164" fontId="5" fillId="0" borderId="6" xfId="8" applyFont="1" applyBorder="1"/>
    <xf numFmtId="164" fontId="5" fillId="0" borderId="6" xfId="8" applyFont="1" applyFill="1" applyBorder="1"/>
    <xf numFmtId="0" fontId="3" fillId="0" borderId="5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165" fontId="4" fillId="0" borderId="6" xfId="6" applyNumberFormat="1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9" fontId="5" fillId="0" borderId="6" xfId="3" applyNumberFormat="1" applyFont="1" applyFill="1" applyBorder="1" applyAlignment="1">
      <alignment horizontal="center" vertical="center"/>
    </xf>
    <xf numFmtId="44" fontId="5" fillId="0" borderId="6" xfId="3" applyNumberFormat="1" applyFont="1" applyFill="1" applyBorder="1" applyAlignment="1">
      <alignment vertical="center"/>
    </xf>
    <xf numFmtId="44" fontId="5" fillId="0" borderId="7" xfId="3" applyNumberFormat="1" applyFont="1" applyFill="1" applyBorder="1" applyAlignment="1">
      <alignment vertical="center"/>
    </xf>
    <xf numFmtId="0" fontId="5" fillId="2" borderId="0" xfId="3" applyFont="1" applyFill="1" applyAlignment="1"/>
    <xf numFmtId="0" fontId="5" fillId="4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17" fillId="0" borderId="57" xfId="0" applyFont="1" applyBorder="1" applyAlignment="1">
      <alignment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6" fillId="0" borderId="6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Border="1" applyAlignment="1">
      <alignment vertical="center" wrapText="1"/>
    </xf>
    <xf numFmtId="44" fontId="17" fillId="0" borderId="58" xfId="0" applyNumberFormat="1" applyFont="1" applyBorder="1" applyAlignment="1">
      <alignment horizontal="justify" vertical="center" wrapText="1"/>
    </xf>
    <xf numFmtId="44" fontId="17" fillId="0" borderId="59" xfId="0" applyNumberFormat="1" applyFont="1" applyBorder="1" applyAlignment="1">
      <alignment horizontal="justify" vertical="center" wrapText="1"/>
    </xf>
    <xf numFmtId="44" fontId="17" fillId="0" borderId="61" xfId="0" applyNumberFormat="1" applyFont="1" applyBorder="1" applyAlignment="1">
      <alignment horizontal="center" vertical="center" wrapText="1"/>
    </xf>
    <xf numFmtId="44" fontId="17" fillId="0" borderId="62" xfId="0" applyNumberFormat="1" applyFont="1" applyBorder="1" applyAlignment="1">
      <alignment horizontal="justify" vertical="center" wrapText="1"/>
    </xf>
    <xf numFmtId="44" fontId="17" fillId="0" borderId="6" xfId="0" applyNumberFormat="1" applyFont="1" applyBorder="1" applyAlignment="1">
      <alignment horizontal="center" vertical="center" wrapText="1"/>
    </xf>
    <xf numFmtId="44" fontId="17" fillId="0" borderId="64" xfId="0" applyNumberFormat="1" applyFont="1" applyBorder="1" applyAlignment="1">
      <alignment horizontal="center" vertical="center" wrapText="1"/>
    </xf>
    <xf numFmtId="44" fontId="17" fillId="0" borderId="44" xfId="0" applyNumberFormat="1" applyFont="1" applyBorder="1" applyAlignment="1">
      <alignment horizontal="justify" vertical="center" wrapText="1"/>
    </xf>
    <xf numFmtId="44" fontId="16" fillId="7" borderId="44" xfId="0" applyNumberFormat="1" applyFont="1" applyFill="1" applyBorder="1" applyAlignment="1">
      <alignment horizontal="justify" vertical="center" wrapText="1"/>
    </xf>
    <xf numFmtId="44" fontId="17" fillId="0" borderId="58" xfId="0" applyNumberFormat="1" applyFont="1" applyBorder="1" applyAlignment="1">
      <alignment horizontal="center" vertical="center" wrapText="1"/>
    </xf>
    <xf numFmtId="44" fontId="17" fillId="0" borderId="65" xfId="0" applyNumberFormat="1" applyFont="1" applyBorder="1" applyAlignment="1">
      <alignment horizontal="center" vertical="center" wrapText="1"/>
    </xf>
    <xf numFmtId="44" fontId="17" fillId="0" borderId="22" xfId="0" applyNumberFormat="1" applyFont="1" applyBorder="1" applyAlignment="1">
      <alignment horizontal="justify" vertical="center" wrapText="1"/>
    </xf>
    <xf numFmtId="44" fontId="17" fillId="0" borderId="6" xfId="0" applyNumberFormat="1" applyFont="1" applyBorder="1" applyAlignment="1">
      <alignment horizontal="justify" vertical="center" wrapText="1"/>
    </xf>
    <xf numFmtId="44" fontId="17" fillId="0" borderId="64" xfId="0" applyNumberFormat="1" applyFont="1" applyBorder="1" applyAlignment="1">
      <alignment horizontal="justify" vertical="center" wrapText="1"/>
    </xf>
    <xf numFmtId="44" fontId="17" fillId="0" borderId="55" xfId="0" applyNumberFormat="1" applyFont="1" applyBorder="1" applyAlignment="1">
      <alignment horizontal="center" vertical="center" wrapText="1"/>
    </xf>
    <xf numFmtId="44" fontId="17" fillId="0" borderId="44" xfId="0" applyNumberFormat="1" applyFont="1" applyBorder="1" applyAlignment="1">
      <alignment horizontal="center" vertical="center" wrapText="1"/>
    </xf>
    <xf numFmtId="44" fontId="17" fillId="0" borderId="59" xfId="0" applyNumberFormat="1" applyFont="1" applyBorder="1" applyAlignment="1">
      <alignment horizontal="center" vertical="center" wrapText="1"/>
    </xf>
    <xf numFmtId="44" fontId="17" fillId="0" borderId="22" xfId="0" applyNumberFormat="1" applyFont="1" applyBorder="1" applyAlignment="1">
      <alignment horizontal="center" vertical="center" wrapText="1"/>
    </xf>
    <xf numFmtId="44" fontId="17" fillId="0" borderId="23" xfId="0" applyNumberFormat="1" applyFont="1" applyBorder="1" applyAlignment="1">
      <alignment horizontal="justify" vertical="center" wrapText="1"/>
    </xf>
    <xf numFmtId="44" fontId="17" fillId="0" borderId="55" xfId="0" applyNumberFormat="1" applyFont="1" applyBorder="1" applyAlignment="1">
      <alignment horizontal="justify" vertical="center" wrapText="1"/>
    </xf>
    <xf numFmtId="164" fontId="5" fillId="0" borderId="22" xfId="8" applyFont="1" applyBorder="1"/>
    <xf numFmtId="164" fontId="5" fillId="0" borderId="64" xfId="8" applyFont="1" applyFill="1" applyBorder="1"/>
    <xf numFmtId="44" fontId="17" fillId="0" borderId="65" xfId="0" applyNumberFormat="1" applyFont="1" applyBorder="1" applyAlignment="1">
      <alignment horizontal="justify" vertical="center" wrapText="1"/>
    </xf>
    <xf numFmtId="44" fontId="16" fillId="7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/>
    <xf numFmtId="0" fontId="17" fillId="0" borderId="64" xfId="0" applyFont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/>
    </xf>
    <xf numFmtId="9" fontId="5" fillId="0" borderId="6" xfId="2" applyFont="1" applyFill="1" applyBorder="1" applyAlignment="1" applyProtection="1">
      <alignment horizontal="center"/>
    </xf>
    <xf numFmtId="44" fontId="5" fillId="0" borderId="7" xfId="5" applyNumberFormat="1" applyFont="1" applyFill="1" applyBorder="1" applyAlignment="1" applyProtection="1">
      <alignment horizontal="center" vertical="center"/>
    </xf>
    <xf numFmtId="0" fontId="3" fillId="9" borderId="6" xfId="3" applyFont="1" applyFill="1" applyBorder="1" applyAlignment="1" applyProtection="1">
      <protection locked="0"/>
    </xf>
    <xf numFmtId="44" fontId="5" fillId="9" borderId="7" xfId="5" applyFont="1" applyFill="1" applyBorder="1" applyAlignment="1" applyProtection="1">
      <alignment horizontal="center"/>
      <protection locked="0"/>
    </xf>
    <xf numFmtId="165" fontId="5" fillId="9" borderId="6" xfId="6" applyNumberFormat="1" applyFont="1" applyFill="1" applyBorder="1" applyAlignment="1" applyProtection="1">
      <alignment horizontal="center"/>
      <protection locked="0"/>
    </xf>
    <xf numFmtId="10" fontId="5" fillId="9" borderId="6" xfId="2" applyNumberFormat="1" applyFont="1" applyFill="1" applyBorder="1" applyAlignment="1" applyProtection="1">
      <alignment horizontal="center"/>
      <protection locked="0"/>
    </xf>
    <xf numFmtId="44" fontId="7" fillId="5" borderId="44" xfId="3" applyNumberFormat="1" applyFont="1" applyFill="1" applyBorder="1" applyAlignment="1">
      <alignment vertical="center" wrapText="1"/>
    </xf>
    <xf numFmtId="44" fontId="5" fillId="0" borderId="42" xfId="3" applyNumberFormat="1" applyFont="1" applyFill="1" applyBorder="1" applyAlignment="1">
      <alignment vertical="center"/>
    </xf>
    <xf numFmtId="44" fontId="3" fillId="5" borderId="44" xfId="3" applyNumberFormat="1" applyFont="1" applyFill="1" applyBorder="1"/>
    <xf numFmtId="0" fontId="5" fillId="0" borderId="74" xfId="3" applyFont="1" applyFill="1" applyBorder="1" applyAlignment="1">
      <alignment horizontal="center" vertical="center" wrapText="1"/>
    </xf>
    <xf numFmtId="0" fontId="5" fillId="0" borderId="78" xfId="3" applyFont="1" applyFill="1" applyBorder="1" applyAlignment="1">
      <alignment horizontal="center" vertical="center"/>
    </xf>
    <xf numFmtId="44" fontId="5" fillId="0" borderId="78" xfId="5" applyFont="1" applyFill="1" applyBorder="1" applyAlignment="1" applyProtection="1">
      <alignment horizontal="center" vertical="center"/>
    </xf>
    <xf numFmtId="44" fontId="5" fillId="0" borderId="79" xfId="5" applyFont="1" applyFill="1" applyBorder="1" applyAlignment="1" applyProtection="1">
      <alignment horizontal="center" vertical="center"/>
    </xf>
    <xf numFmtId="169" fontId="3" fillId="7" borderId="44" xfId="3" applyNumberFormat="1" applyFont="1" applyFill="1" applyBorder="1" applyAlignment="1">
      <alignment horizontal="center"/>
    </xf>
    <xf numFmtId="164" fontId="5" fillId="0" borderId="42" xfId="8" applyFont="1" applyFill="1" applyBorder="1"/>
    <xf numFmtId="0" fontId="16" fillId="8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67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6" borderId="38" xfId="0" applyFont="1" applyFill="1" applyBorder="1" applyAlignment="1">
      <alignment horizontal="left" vertical="center" wrapText="1"/>
    </xf>
    <xf numFmtId="0" fontId="16" fillId="6" borderId="39" xfId="0" applyFont="1" applyFill="1" applyBorder="1" applyAlignment="1">
      <alignment horizontal="left" vertical="center" wrapText="1"/>
    </xf>
    <xf numFmtId="0" fontId="16" fillId="6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6" borderId="54" xfId="0" applyFont="1" applyFill="1" applyBorder="1" applyAlignment="1">
      <alignment horizontal="left" vertical="center" wrapText="1"/>
    </xf>
    <xf numFmtId="0" fontId="16" fillId="6" borderId="55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left" vertical="center" wrapText="1"/>
    </xf>
    <xf numFmtId="0" fontId="16" fillId="6" borderId="58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9" borderId="5" xfId="3" applyFont="1" applyFill="1" applyBorder="1" applyAlignment="1" applyProtection="1">
      <alignment horizontal="left"/>
      <protection locked="0"/>
    </xf>
    <xf numFmtId="0" fontId="3" fillId="9" borderId="6" xfId="3" applyFont="1" applyFill="1" applyBorder="1" applyAlignment="1" applyProtection="1">
      <alignment horizontal="left"/>
      <protection locked="0"/>
    </xf>
    <xf numFmtId="0" fontId="3" fillId="9" borderId="7" xfId="3" applyFont="1" applyFill="1" applyBorder="1" applyAlignment="1" applyProtection="1">
      <alignment horizontal="left"/>
      <protection locked="0"/>
    </xf>
    <xf numFmtId="0" fontId="3" fillId="9" borderId="8" xfId="3" applyFont="1" applyFill="1" applyBorder="1" applyAlignment="1" applyProtection="1">
      <alignment horizontal="left"/>
      <protection locked="0"/>
    </xf>
    <xf numFmtId="0" fontId="3" fillId="9" borderId="9" xfId="3" applyFont="1" applyFill="1" applyBorder="1" applyAlignment="1" applyProtection="1">
      <alignment horizontal="left"/>
      <protection locked="0"/>
    </xf>
    <xf numFmtId="0" fontId="3" fillId="9" borderId="10" xfId="3" applyFont="1" applyFill="1" applyBorder="1" applyAlignment="1" applyProtection="1">
      <alignment horizontal="left"/>
      <protection locked="0"/>
    </xf>
    <xf numFmtId="0" fontId="3" fillId="9" borderId="11" xfId="3" applyFont="1" applyFill="1" applyBorder="1" applyAlignment="1" applyProtection="1">
      <alignment horizontal="left"/>
      <protection locked="0"/>
    </xf>
    <xf numFmtId="0" fontId="3" fillId="9" borderId="12" xfId="3" applyFont="1" applyFill="1" applyBorder="1" applyAlignment="1" applyProtection="1">
      <alignment horizontal="left"/>
      <protection locked="0"/>
    </xf>
    <xf numFmtId="0" fontId="3" fillId="0" borderId="13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14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left" vertical="top" wrapText="1"/>
    </xf>
    <xf numFmtId="0" fontId="5" fillId="0" borderId="9" xfId="3" applyFont="1" applyFill="1" applyBorder="1" applyAlignment="1">
      <alignment horizontal="left" vertical="top" wrapText="1"/>
    </xf>
    <xf numFmtId="0" fontId="5" fillId="0" borderId="10" xfId="3" applyFont="1" applyFill="1" applyBorder="1" applyAlignment="1">
      <alignment horizontal="left" vertical="top" wrapText="1"/>
    </xf>
    <xf numFmtId="14" fontId="3" fillId="0" borderId="6" xfId="3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2" fontId="3" fillId="0" borderId="6" xfId="3" applyNumberFormat="1" applyFont="1" applyFill="1" applyBorder="1" applyAlignment="1">
      <alignment horizontal="center" vertical="center" wrapText="1"/>
    </xf>
    <xf numFmtId="2" fontId="7" fillId="0" borderId="7" xfId="3" applyNumberFormat="1" applyFont="1" applyFill="1" applyBorder="1" applyAlignment="1">
      <alignment horizontal="center" vertical="center" wrapText="1"/>
    </xf>
    <xf numFmtId="0" fontId="3" fillId="0" borderId="18" xfId="3" applyFont="1" applyFill="1" applyBorder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3" fillId="0" borderId="20" xfId="3" applyFont="1" applyFill="1" applyBorder="1" applyAlignment="1">
      <alignment horizontal="center"/>
    </xf>
    <xf numFmtId="0" fontId="3" fillId="3" borderId="21" xfId="3" applyFont="1" applyFill="1" applyBorder="1" applyAlignment="1">
      <alignment horizontal="center" vertical="center" wrapText="1"/>
    </xf>
    <xf numFmtId="0" fontId="4" fillId="3" borderId="22" xfId="3" applyFont="1" applyFill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4" fillId="3" borderId="16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 vertical="top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3" fillId="4" borderId="6" xfId="3" applyFont="1" applyFill="1" applyBorder="1" applyAlignment="1">
      <alignment horizontal="left" vertical="top" wrapText="1"/>
    </xf>
    <xf numFmtId="0" fontId="5" fillId="0" borderId="6" xfId="3" applyNumberFormat="1" applyFont="1" applyFill="1" applyBorder="1" applyAlignment="1">
      <alignment horizontal="center" vertical="center" wrapText="1"/>
    </xf>
    <xf numFmtId="0" fontId="4" fillId="0" borderId="7" xfId="3" applyNumberFormat="1" applyFont="1" applyFill="1" applyBorder="1" applyAlignment="1">
      <alignment horizontal="center" vertical="center" wrapText="1"/>
    </xf>
    <xf numFmtId="0" fontId="3" fillId="3" borderId="24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25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/>
    </xf>
    <xf numFmtId="44" fontId="3" fillId="0" borderId="6" xfId="1" applyNumberFormat="1" applyFont="1" applyFill="1" applyBorder="1" applyAlignment="1" applyProtection="1">
      <alignment horizontal="center" vertical="center" wrapText="1"/>
    </xf>
    <xf numFmtId="44" fontId="4" fillId="0" borderId="7" xfId="1" applyNumberFormat="1" applyFont="1" applyFill="1" applyBorder="1" applyAlignment="1" applyProtection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left"/>
    </xf>
    <xf numFmtId="0" fontId="5" fillId="0" borderId="6" xfId="3" applyFont="1" applyFill="1" applyBorder="1" applyAlignment="1">
      <alignment horizontal="left"/>
    </xf>
    <xf numFmtId="0" fontId="5" fillId="0" borderId="11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6" xfId="4" applyFont="1" applyBorder="1" applyAlignment="1">
      <alignment vertical="center" wrapText="1"/>
    </xf>
    <xf numFmtId="0" fontId="5" fillId="0" borderId="8" xfId="4" applyFont="1" applyBorder="1" applyAlignment="1">
      <alignment horizontal="left" vertical="center" wrapText="1"/>
    </xf>
    <xf numFmtId="0" fontId="3" fillId="0" borderId="8" xfId="3" applyFont="1" applyFill="1" applyBorder="1" applyAlignment="1">
      <alignment horizontal="right"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0" fontId="5" fillId="0" borderId="13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right" wrapText="1"/>
    </xf>
    <xf numFmtId="0" fontId="4" fillId="0" borderId="6" xfId="3" applyFont="1" applyBorder="1" applyAlignment="1">
      <alignment horizontal="right" wrapText="1"/>
    </xf>
    <xf numFmtId="0" fontId="3" fillId="0" borderId="5" xfId="3" applyFont="1" applyFill="1" applyBorder="1" applyAlignment="1">
      <alignment horizontal="right"/>
    </xf>
    <xf numFmtId="0" fontId="3" fillId="0" borderId="6" xfId="3" applyFont="1" applyFill="1" applyBorder="1" applyAlignment="1">
      <alignment horizontal="right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/>
    </xf>
    <xf numFmtId="0" fontId="5" fillId="0" borderId="29" xfId="3" applyFont="1" applyFill="1" applyBorder="1" applyAlignment="1">
      <alignment horizontal="left"/>
    </xf>
    <xf numFmtId="0" fontId="5" fillId="0" borderId="30" xfId="3" applyFont="1" applyFill="1" applyBorder="1" applyAlignment="1">
      <alignment horizontal="left"/>
    </xf>
    <xf numFmtId="0" fontId="3" fillId="0" borderId="8" xfId="3" applyFont="1" applyFill="1" applyBorder="1" applyAlignment="1">
      <alignment horizontal="right"/>
    </xf>
    <xf numFmtId="0" fontId="3" fillId="0" borderId="9" xfId="3" applyFont="1" applyFill="1" applyBorder="1" applyAlignment="1">
      <alignment horizontal="right"/>
    </xf>
    <xf numFmtId="0" fontId="3" fillId="0" borderId="10" xfId="3" applyFont="1" applyFill="1" applyBorder="1" applyAlignment="1">
      <alignment horizontal="right"/>
    </xf>
    <xf numFmtId="0" fontId="3" fillId="0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horizontal="center"/>
    </xf>
    <xf numFmtId="0" fontId="3" fillId="0" borderId="12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5" fillId="0" borderId="10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right"/>
    </xf>
    <xf numFmtId="0" fontId="3" fillId="0" borderId="24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3" applyFont="1" applyFill="1" applyBorder="1" applyAlignment="1">
      <alignment horizontal="center"/>
    </xf>
    <xf numFmtId="0" fontId="3" fillId="3" borderId="54" xfId="3" applyFont="1" applyFill="1" applyBorder="1" applyAlignment="1">
      <alignment horizontal="center" vertical="center" wrapText="1"/>
    </xf>
    <xf numFmtId="0" fontId="3" fillId="3" borderId="55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right" wrapText="1"/>
    </xf>
    <xf numFmtId="0" fontId="3" fillId="0" borderId="32" xfId="3" applyFont="1" applyFill="1" applyBorder="1" applyAlignment="1">
      <alignment horizontal="right" wrapText="1"/>
    </xf>
    <xf numFmtId="0" fontId="4" fillId="0" borderId="33" xfId="3" applyFont="1" applyFill="1" applyBorder="1" applyAlignment="1">
      <alignment horizontal="right" wrapText="1"/>
    </xf>
    <xf numFmtId="0" fontId="3" fillId="0" borderId="35" xfId="3" applyFont="1" applyFill="1" applyBorder="1" applyAlignment="1">
      <alignment horizontal="center"/>
    </xf>
    <xf numFmtId="0" fontId="3" fillId="0" borderId="36" xfId="3" applyFont="1" applyFill="1" applyBorder="1" applyAlignment="1">
      <alignment horizontal="center"/>
    </xf>
    <xf numFmtId="0" fontId="3" fillId="0" borderId="37" xfId="3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11" xfId="3" applyFont="1" applyFill="1" applyBorder="1" applyAlignment="1">
      <alignment horizontal="left"/>
    </xf>
    <xf numFmtId="0" fontId="3" fillId="0" borderId="9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7" fillId="0" borderId="9" xfId="3" applyFont="1" applyBorder="1" applyAlignment="1">
      <alignment horizontal="right"/>
    </xf>
    <xf numFmtId="0" fontId="7" fillId="0" borderId="10" xfId="3" applyFont="1" applyBorder="1" applyAlignment="1">
      <alignment horizontal="right"/>
    </xf>
    <xf numFmtId="0" fontId="3" fillId="0" borderId="41" xfId="3" applyFont="1" applyFill="1" applyBorder="1" applyAlignment="1">
      <alignment horizontal="center"/>
    </xf>
    <xf numFmtId="0" fontId="3" fillId="0" borderId="42" xfId="3" applyFont="1" applyFill="1" applyBorder="1" applyAlignment="1">
      <alignment horizontal="center"/>
    </xf>
    <xf numFmtId="0" fontId="3" fillId="0" borderId="43" xfId="3" applyFont="1" applyFill="1" applyBorder="1" applyAlignment="1">
      <alignment horizontal="center"/>
    </xf>
    <xf numFmtId="0" fontId="3" fillId="3" borderId="38" xfId="3" applyFont="1" applyFill="1" applyBorder="1" applyAlignment="1">
      <alignment horizontal="center" vertical="center" wrapText="1"/>
    </xf>
    <xf numFmtId="0" fontId="3" fillId="3" borderId="39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0" fontId="5" fillId="0" borderId="40" xfId="3" applyFont="1" applyFill="1" applyBorder="1" applyAlignment="1">
      <alignment horizontal="center"/>
    </xf>
    <xf numFmtId="0" fontId="3" fillId="3" borderId="45" xfId="3" applyFont="1" applyFill="1" applyBorder="1" applyAlignment="1">
      <alignment horizontal="center"/>
    </xf>
    <xf numFmtId="0" fontId="3" fillId="3" borderId="46" xfId="3" applyFont="1" applyFill="1" applyBorder="1" applyAlignment="1">
      <alignment horizontal="center"/>
    </xf>
    <xf numFmtId="0" fontId="3" fillId="3" borderId="47" xfId="3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5" fillId="0" borderId="53" xfId="3" applyFont="1" applyFill="1" applyBorder="1" applyAlignment="1">
      <alignment horizontal="center" vertical="center" wrapText="1"/>
    </xf>
    <xf numFmtId="167" fontId="5" fillId="0" borderId="75" xfId="3" applyNumberFormat="1" applyFont="1" applyFill="1" applyBorder="1" applyAlignment="1">
      <alignment horizontal="left" vertical="center"/>
    </xf>
    <xf numFmtId="167" fontId="5" fillId="0" borderId="76" xfId="3" applyNumberFormat="1" applyFont="1" applyFill="1" applyBorder="1" applyAlignment="1">
      <alignment horizontal="left" vertical="center"/>
    </xf>
    <xf numFmtId="167" fontId="5" fillId="0" borderId="77" xfId="3" applyNumberFormat="1" applyFont="1" applyFill="1" applyBorder="1" applyAlignment="1">
      <alignment horizontal="left" vertical="center"/>
    </xf>
    <xf numFmtId="0" fontId="3" fillId="6" borderId="54" xfId="3" applyFont="1" applyFill="1" applyBorder="1" applyAlignment="1">
      <alignment horizontal="center"/>
    </xf>
    <xf numFmtId="0" fontId="3" fillId="6" borderId="55" xfId="3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5" fillId="6" borderId="38" xfId="3" applyFont="1" applyFill="1" applyBorder="1" applyAlignment="1">
      <alignment horizontal="center"/>
    </xf>
    <xf numFmtId="0" fontId="5" fillId="6" borderId="39" xfId="3" applyFont="1" applyFill="1" applyBorder="1" applyAlignment="1">
      <alignment horizontal="center"/>
    </xf>
    <xf numFmtId="0" fontId="5" fillId="6" borderId="40" xfId="3" applyFont="1" applyFill="1" applyBorder="1" applyAlignment="1">
      <alignment horizontal="center"/>
    </xf>
    <xf numFmtId="0" fontId="5" fillId="6" borderId="38" xfId="3" applyFont="1" applyFill="1" applyBorder="1" applyAlignment="1">
      <alignment horizontal="center" wrapText="1"/>
    </xf>
    <xf numFmtId="0" fontId="5" fillId="6" borderId="39" xfId="3" applyFont="1" applyFill="1" applyBorder="1" applyAlignment="1">
      <alignment horizontal="center" wrapText="1"/>
    </xf>
    <xf numFmtId="0" fontId="5" fillId="6" borderId="40" xfId="3" applyFont="1" applyFill="1" applyBorder="1" applyAlignment="1">
      <alignment horizontal="center" wrapText="1"/>
    </xf>
    <xf numFmtId="0" fontId="5" fillId="0" borderId="5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 wrapText="1"/>
    </xf>
    <xf numFmtId="0" fontId="5" fillId="0" borderId="41" xfId="3" applyFont="1" applyFill="1" applyBorder="1" applyAlignment="1">
      <alignment horizontal="left"/>
    </xf>
    <xf numFmtId="0" fontId="5" fillId="0" borderId="42" xfId="3" applyFont="1" applyFill="1" applyBorder="1" applyAlignment="1">
      <alignment horizontal="left"/>
    </xf>
    <xf numFmtId="0" fontId="3" fillId="0" borderId="54" xfId="3" applyFont="1" applyFill="1" applyBorder="1" applyAlignment="1">
      <alignment horizontal="right"/>
    </xf>
    <xf numFmtId="0" fontId="3" fillId="0" borderId="55" xfId="3" applyFont="1" applyFill="1" applyBorder="1" applyAlignment="1">
      <alignment horizontal="right"/>
    </xf>
    <xf numFmtId="0" fontId="3" fillId="3" borderId="49" xfId="3" applyFont="1" applyFill="1" applyBorder="1" applyAlignment="1">
      <alignment horizontal="center"/>
    </xf>
    <xf numFmtId="0" fontId="3" fillId="3" borderId="50" xfId="3" applyFont="1" applyFill="1" applyBorder="1" applyAlignment="1">
      <alignment horizontal="center"/>
    </xf>
    <xf numFmtId="0" fontId="3" fillId="3" borderId="51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left" vertical="center"/>
    </xf>
    <xf numFmtId="0" fontId="5" fillId="0" borderId="9" xfId="3" applyFont="1" applyFill="1" applyBorder="1" applyAlignment="1">
      <alignment horizontal="left" vertical="center"/>
    </xf>
    <xf numFmtId="0" fontId="5" fillId="0" borderId="1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/>
    </xf>
    <xf numFmtId="0" fontId="5" fillId="0" borderId="6" xfId="3" applyFont="1" applyFill="1" applyBorder="1" applyAlignment="1">
      <alignment horizontal="left" wrapText="1"/>
    </xf>
    <xf numFmtId="0" fontId="5" fillId="4" borderId="6" xfId="3" applyFont="1" applyFill="1" applyBorder="1" applyAlignment="1">
      <alignment horizontal="left" vertical="center" wrapText="1"/>
    </xf>
    <xf numFmtId="167" fontId="5" fillId="0" borderId="75" xfId="3" applyNumberFormat="1" applyFont="1" applyFill="1" applyBorder="1" applyAlignment="1">
      <alignment horizontal="left" vertical="center" wrapText="1"/>
    </xf>
    <xf numFmtId="167" fontId="5" fillId="0" borderId="76" xfId="3" applyNumberFormat="1" applyFont="1" applyFill="1" applyBorder="1" applyAlignment="1">
      <alignment horizontal="left" vertical="center" wrapText="1"/>
    </xf>
    <xf numFmtId="167" fontId="5" fillId="0" borderId="77" xfId="3" applyNumberFormat="1" applyFont="1" applyFill="1" applyBorder="1" applyAlignment="1">
      <alignment horizontal="left" vertical="center" wrapText="1"/>
    </xf>
    <xf numFmtId="49" fontId="3" fillId="0" borderId="6" xfId="3" applyNumberFormat="1" applyFont="1" applyFill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0" fontId="5" fillId="0" borderId="11" xfId="4" applyFont="1" applyBorder="1" applyAlignment="1">
      <alignment vertical="center" wrapText="1"/>
    </xf>
    <xf numFmtId="0" fontId="5" fillId="0" borderId="9" xfId="4" applyFont="1" applyBorder="1" applyAlignment="1">
      <alignment vertical="center" wrapText="1"/>
    </xf>
    <xf numFmtId="0" fontId="5" fillId="0" borderId="10" xfId="4" applyFont="1" applyBorder="1" applyAlignment="1">
      <alignment vertical="center" wrapText="1"/>
    </xf>
    <xf numFmtId="0" fontId="5" fillId="0" borderId="8" xfId="3" applyFont="1" applyFill="1" applyBorder="1" applyAlignment="1">
      <alignment horizontal="left"/>
    </xf>
    <xf numFmtId="0" fontId="5" fillId="0" borderId="18" xfId="3" applyFont="1" applyFill="1" applyBorder="1" applyAlignment="1">
      <alignment horizontal="left"/>
    </xf>
    <xf numFmtId="0" fontId="5" fillId="0" borderId="80" xfId="3" applyFont="1" applyFill="1" applyBorder="1" applyAlignment="1">
      <alignment horizontal="left"/>
    </xf>
  </cellXfs>
  <cellStyles count="10">
    <cellStyle name="Moeda" xfId="1" builtinId="4"/>
    <cellStyle name="Moeda 2" xfId="8"/>
    <cellStyle name="Moeda 4" xfId="5"/>
    <cellStyle name="Normal" xfId="0" builtinId="0"/>
    <cellStyle name="Normal 2" xfId="7"/>
    <cellStyle name="Normal_Pasta2" xfId="4"/>
    <cellStyle name="Normal_Pr 062012 Telefonista SAMF Ministerio fazenda" xfId="3"/>
    <cellStyle name="Porcentagem" xfId="2" builtinId="5"/>
    <cellStyle name="Porcentagem 2" xfId="9"/>
    <cellStyle name="Porcentagem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C\SYS\desen\nota\Gen98%2309\GEN96%23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z"/>
      <sheetName val="cota"/>
      <sheetName val="tab."/>
      <sheetName val="c.gr"/>
      <sheetName val="enpe."/>
      <sheetName val="div"/>
      <sheetName val="ric."/>
      <sheetName val="prop."/>
      <sheetName val="8905-1"/>
      <sheetName val="8905-2"/>
      <sheetName val="8905-3"/>
      <sheetName val="8905-4"/>
      <sheetName val="8910-1"/>
      <sheetName val="8910-2"/>
      <sheetName val="8915-1"/>
      <sheetName val="8915-2"/>
      <sheetName val="8915-3"/>
      <sheetName val="8920-1"/>
      <sheetName val="8920-2"/>
      <sheetName val="8925-1"/>
      <sheetName val="8930-1"/>
      <sheetName val="8935-1"/>
      <sheetName val="8945-1"/>
      <sheetName val="8950-1"/>
      <sheetName val="8955-1"/>
      <sheetName val="8960-1"/>
      <sheetName val="ANX2"/>
      <sheetName val="rc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dcruz"/>
      <sheetName val="dmari"/>
      <sheetName val="drei"/>
      <sheetName val="pven"/>
      <sheetName val="p cc"/>
      <sheetName val="pcida"/>
      <sheetName val="firmas"/>
      <sheetName val="evolução"/>
      <sheetName val="evolução (2)"/>
      <sheetName val="Extenso Real"/>
      <sheetName val="Modelo"/>
      <sheetName val="MapaFatMai_06"/>
      <sheetName val="DiversosMai_06"/>
      <sheetName val="RecibosMai_06"/>
      <sheetName val="Parametros"/>
      <sheetName val="Gráf1"/>
      <sheetName val="Gráf2"/>
      <sheetName val="Gráf4"/>
      <sheetName val="Módulo1"/>
      <sheetName val="Fat_diversos"/>
      <sheetName val="lote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H1" sqref="H1"/>
    </sheetView>
  </sheetViews>
  <sheetFormatPr defaultRowHeight="15" x14ac:dyDescent="0.25"/>
  <cols>
    <col min="1" max="1" width="20.28515625" customWidth="1"/>
    <col min="2" max="2" width="10.28515625" customWidth="1"/>
    <col min="4" max="4" width="13.5703125" customWidth="1"/>
    <col min="5" max="5" width="13.42578125" customWidth="1"/>
    <col min="6" max="6" width="16" customWidth="1"/>
  </cols>
  <sheetData>
    <row r="1" spans="1:6" ht="15.75" thickBot="1" x14ac:dyDescent="0.3">
      <c r="A1" s="188" t="s">
        <v>171</v>
      </c>
      <c r="B1" s="189"/>
      <c r="C1" s="189"/>
      <c r="D1" s="189"/>
      <c r="E1" s="189"/>
      <c r="F1" s="190"/>
    </row>
    <row r="2" spans="1:6" ht="45.75" thickBot="1" x14ac:dyDescent="0.3">
      <c r="A2" s="127" t="s">
        <v>138</v>
      </c>
      <c r="B2" s="128" t="s">
        <v>172</v>
      </c>
      <c r="C2" s="129" t="s">
        <v>173</v>
      </c>
      <c r="D2" s="128" t="s">
        <v>174</v>
      </c>
      <c r="E2" s="128" t="s">
        <v>175</v>
      </c>
      <c r="F2" s="130" t="s">
        <v>176</v>
      </c>
    </row>
    <row r="3" spans="1:6" ht="75" customHeight="1" thickBot="1" x14ac:dyDescent="0.3">
      <c r="A3" s="89" t="s">
        <v>161</v>
      </c>
      <c r="B3" s="90" t="s">
        <v>177</v>
      </c>
      <c r="C3" s="91">
        <f>Copeiragem!E132</f>
        <v>2</v>
      </c>
      <c r="D3" s="101">
        <f>C3*Copeiragem!$G$120</f>
        <v>1210.2080000000001</v>
      </c>
      <c r="E3" s="101">
        <f>12*D3</f>
        <v>14522.496000000001</v>
      </c>
      <c r="F3" s="102">
        <f>5*E3</f>
        <v>72612.48000000001</v>
      </c>
    </row>
    <row r="4" spans="1:6" ht="15.75" thickBot="1" x14ac:dyDescent="0.3">
      <c r="A4" s="211" t="s">
        <v>178</v>
      </c>
      <c r="B4" s="212"/>
      <c r="C4" s="212"/>
      <c r="D4" s="212"/>
      <c r="E4" s="212"/>
      <c r="F4" s="213"/>
    </row>
    <row r="5" spans="1:6" ht="45.75" thickBot="1" x14ac:dyDescent="0.3">
      <c r="A5" s="127" t="s">
        <v>179</v>
      </c>
      <c r="B5" s="207" t="s">
        <v>180</v>
      </c>
      <c r="C5" s="207"/>
      <c r="D5" s="128" t="s">
        <v>181</v>
      </c>
      <c r="E5" s="128" t="s">
        <v>182</v>
      </c>
      <c r="F5" s="130" t="s">
        <v>183</v>
      </c>
    </row>
    <row r="6" spans="1:6" x14ac:dyDescent="0.25">
      <c r="A6" s="92" t="s">
        <v>184</v>
      </c>
      <c r="B6" s="214">
        <v>540</v>
      </c>
      <c r="C6" s="214"/>
      <c r="D6" s="103">
        <f>Copeiragem!$G$125/Copeiragem!$C$125</f>
        <v>0</v>
      </c>
      <c r="E6" s="103">
        <f>D6*B6</f>
        <v>0</v>
      </c>
      <c r="F6" s="104">
        <f>5*E6</f>
        <v>0</v>
      </c>
    </row>
    <row r="7" spans="1:6" x14ac:dyDescent="0.25">
      <c r="A7" s="93" t="s">
        <v>185</v>
      </c>
      <c r="B7" s="192">
        <v>116</v>
      </c>
      <c r="C7" s="192"/>
      <c r="D7" s="105">
        <f>Copeiragem!$G$126/Copeiragem!$C$126</f>
        <v>0</v>
      </c>
      <c r="E7" s="103">
        <f t="shared" ref="E7:E8" si="0">D7*B7</f>
        <v>0</v>
      </c>
      <c r="F7" s="104">
        <f t="shared" ref="F7:F8" si="1">5*E7</f>
        <v>0</v>
      </c>
    </row>
    <row r="8" spans="1:6" ht="15.75" thickBot="1" x14ac:dyDescent="0.3">
      <c r="A8" s="94" t="s">
        <v>186</v>
      </c>
      <c r="B8" s="191">
        <v>116</v>
      </c>
      <c r="C8" s="191"/>
      <c r="D8" s="106">
        <f>Copeiragem!$G$127/Copeiragem!$C$127</f>
        <v>0</v>
      </c>
      <c r="E8" s="103">
        <f t="shared" si="0"/>
        <v>0</v>
      </c>
      <c r="F8" s="104">
        <f t="shared" si="1"/>
        <v>0</v>
      </c>
    </row>
    <row r="9" spans="1:6" ht="15.75" customHeight="1" thickBot="1" x14ac:dyDescent="0.3">
      <c r="A9" s="193" t="s">
        <v>187</v>
      </c>
      <c r="B9" s="194"/>
      <c r="C9" s="194"/>
      <c r="D9" s="194"/>
      <c r="E9" s="194"/>
      <c r="F9" s="107">
        <f>SUM(F6:F8)</f>
        <v>0</v>
      </c>
    </row>
    <row r="10" spans="1:6" ht="21.75" customHeight="1" thickBot="1" x14ac:dyDescent="0.3">
      <c r="A10" s="186" t="s">
        <v>188</v>
      </c>
      <c r="B10" s="187"/>
      <c r="C10" s="187"/>
      <c r="D10" s="187"/>
      <c r="E10" s="187"/>
      <c r="F10" s="108">
        <f>SUM(F3,F9)</f>
        <v>72612.48000000001</v>
      </c>
    </row>
    <row r="11" spans="1:6" ht="15.75" thickBot="1" x14ac:dyDescent="0.3">
      <c r="A11" s="212"/>
      <c r="B11" s="212"/>
      <c r="C11" s="212"/>
      <c r="D11" s="212"/>
      <c r="E11" s="212"/>
      <c r="F11" s="212"/>
    </row>
    <row r="12" spans="1:6" ht="15.75" thickBot="1" x14ac:dyDescent="0.3">
      <c r="A12" s="188" t="s">
        <v>189</v>
      </c>
      <c r="B12" s="189"/>
      <c r="C12" s="189"/>
      <c r="D12" s="189"/>
      <c r="E12" s="189"/>
      <c r="F12" s="190"/>
    </row>
    <row r="13" spans="1:6" ht="45.75" thickBot="1" x14ac:dyDescent="0.3">
      <c r="A13" s="127" t="s">
        <v>138</v>
      </c>
      <c r="B13" s="131" t="s">
        <v>172</v>
      </c>
      <c r="C13" s="129" t="s">
        <v>173</v>
      </c>
      <c r="D13" s="128" t="s">
        <v>174</v>
      </c>
      <c r="E13" s="128" t="s">
        <v>175</v>
      </c>
      <c r="F13" s="130" t="s">
        <v>176</v>
      </c>
    </row>
    <row r="14" spans="1:6" ht="75" customHeight="1" thickBot="1" x14ac:dyDescent="0.3">
      <c r="A14" s="89" t="s">
        <v>190</v>
      </c>
      <c r="B14" s="91" t="s">
        <v>177</v>
      </c>
      <c r="C14" s="91">
        <f>'Servente de Limpeza'!E132</f>
        <v>5</v>
      </c>
      <c r="D14" s="109">
        <f>C14*'Servente de Limpeza'!$G$120</f>
        <v>7164.5421016480013</v>
      </c>
      <c r="E14" s="109">
        <f>12*D14</f>
        <v>85974.505219776009</v>
      </c>
      <c r="F14" s="102">
        <f>5*E14</f>
        <v>429872.52609888004</v>
      </c>
    </row>
    <row r="15" spans="1:6" ht="15.75" thickBot="1" x14ac:dyDescent="0.3">
      <c r="A15" s="195" t="s">
        <v>178</v>
      </c>
      <c r="B15" s="196"/>
      <c r="C15" s="196"/>
      <c r="D15" s="196"/>
      <c r="E15" s="196"/>
      <c r="F15" s="197"/>
    </row>
    <row r="16" spans="1:6" ht="45.75" thickBot="1" x14ac:dyDescent="0.3">
      <c r="A16" s="127" t="s">
        <v>179</v>
      </c>
      <c r="B16" s="207" t="s">
        <v>191</v>
      </c>
      <c r="C16" s="207"/>
      <c r="D16" s="128" t="s">
        <v>181</v>
      </c>
      <c r="E16" s="128" t="s">
        <v>182</v>
      </c>
      <c r="F16" s="130" t="s">
        <v>192</v>
      </c>
    </row>
    <row r="17" spans="1:6" x14ac:dyDescent="0.25">
      <c r="A17" s="95" t="s">
        <v>184</v>
      </c>
      <c r="B17" s="198">
        <v>260</v>
      </c>
      <c r="C17" s="198"/>
      <c r="D17" s="103">
        <f>'Servente de Limpeza'!$G$125/'Servente de Limpeza'!$C$125</f>
        <v>6.8983701694133339</v>
      </c>
      <c r="E17" s="103">
        <f>D17*B17</f>
        <v>1793.5762440474668</v>
      </c>
      <c r="F17" s="104">
        <f>5*E17</f>
        <v>8967.8812202373338</v>
      </c>
    </row>
    <row r="18" spans="1:6" x14ac:dyDescent="0.25">
      <c r="A18" s="96" t="s">
        <v>185</v>
      </c>
      <c r="B18" s="192">
        <v>30</v>
      </c>
      <c r="C18" s="192"/>
      <c r="D18" s="105">
        <f>'Servente de Limpeza'!$G$126/'Servente de Limpeza'!$C$126</f>
        <v>9.1978268925511113</v>
      </c>
      <c r="E18" s="103">
        <f t="shared" ref="E18:E19" si="2">D18*B18</f>
        <v>275.93480677653332</v>
      </c>
      <c r="F18" s="104">
        <f t="shared" ref="F18:F19" si="3">5*E18</f>
        <v>1379.6740338826667</v>
      </c>
    </row>
    <row r="19" spans="1:6" ht="15.75" thickBot="1" x14ac:dyDescent="0.3">
      <c r="A19" s="97" t="s">
        <v>186</v>
      </c>
      <c r="B19" s="191">
        <v>40</v>
      </c>
      <c r="C19" s="191"/>
      <c r="D19" s="106">
        <f>'Servente de Limpeza'!$G$127/'Servente de Limpeza'!$C$127</f>
        <v>9.5887345354845355</v>
      </c>
      <c r="E19" s="103">
        <f t="shared" si="2"/>
        <v>383.5493814193814</v>
      </c>
      <c r="F19" s="104">
        <f t="shared" si="3"/>
        <v>1917.7469070969071</v>
      </c>
    </row>
    <row r="20" spans="1:6" ht="15.75" customHeight="1" thickBot="1" x14ac:dyDescent="0.3">
      <c r="A20" s="193" t="s">
        <v>187</v>
      </c>
      <c r="B20" s="194"/>
      <c r="C20" s="194"/>
      <c r="D20" s="194"/>
      <c r="E20" s="194"/>
      <c r="F20" s="107">
        <f>SUM(F17:F19)</f>
        <v>12265.302161216909</v>
      </c>
    </row>
    <row r="21" spans="1:6" ht="22.5" customHeight="1" thickBot="1" x14ac:dyDescent="0.3">
      <c r="A21" s="186" t="s">
        <v>193</v>
      </c>
      <c r="B21" s="187"/>
      <c r="C21" s="187"/>
      <c r="D21" s="187"/>
      <c r="E21" s="187"/>
      <c r="F21" s="108">
        <f>SUM(F14,F20)</f>
        <v>442137.82826009695</v>
      </c>
    </row>
    <row r="22" spans="1:6" ht="15.75" thickBot="1" x14ac:dyDescent="0.3">
      <c r="A22" s="156"/>
      <c r="B22" s="156"/>
      <c r="C22" s="156"/>
      <c r="D22" s="156"/>
      <c r="E22" s="156"/>
      <c r="F22" s="156"/>
    </row>
    <row r="23" spans="1:6" ht="15.75" thickBot="1" x14ac:dyDescent="0.3">
      <c r="A23" s="201" t="s">
        <v>194</v>
      </c>
      <c r="B23" s="202"/>
      <c r="C23" s="202"/>
      <c r="D23" s="202"/>
      <c r="E23" s="202"/>
      <c r="F23" s="203"/>
    </row>
    <row r="24" spans="1:6" ht="45" x14ac:dyDescent="0.25">
      <c r="A24" s="132" t="s">
        <v>138</v>
      </c>
      <c r="B24" s="133" t="s">
        <v>172</v>
      </c>
      <c r="C24" s="134" t="s">
        <v>173</v>
      </c>
      <c r="D24" s="134" t="s">
        <v>174</v>
      </c>
      <c r="E24" s="134" t="s">
        <v>175</v>
      </c>
      <c r="F24" s="135" t="s">
        <v>176</v>
      </c>
    </row>
    <row r="25" spans="1:6" ht="75" customHeight="1" thickBot="1" x14ac:dyDescent="0.3">
      <c r="A25" s="97" t="s">
        <v>195</v>
      </c>
      <c r="B25" s="126" t="s">
        <v>177</v>
      </c>
      <c r="C25" s="126">
        <f>'Servente de Limpreza (MHMTT)'!E132</f>
        <v>1</v>
      </c>
      <c r="D25" s="106">
        <f>C25*'Servente de Limpreza (MHMTT)'!$G$120</f>
        <v>1019.0062101648001</v>
      </c>
      <c r="E25" s="106">
        <f>12*D25</f>
        <v>12228.074521977602</v>
      </c>
      <c r="F25" s="110">
        <f>5*E25</f>
        <v>61140.372609888007</v>
      </c>
    </row>
    <row r="26" spans="1:6" ht="15.75" thickBot="1" x14ac:dyDescent="0.3">
      <c r="A26" s="211" t="s">
        <v>178</v>
      </c>
      <c r="B26" s="212"/>
      <c r="C26" s="212"/>
      <c r="D26" s="212"/>
      <c r="E26" s="212"/>
      <c r="F26" s="213"/>
    </row>
    <row r="27" spans="1:6" ht="45.75" thickBot="1" x14ac:dyDescent="0.3">
      <c r="A27" s="127" t="s">
        <v>179</v>
      </c>
      <c r="B27" s="207" t="s">
        <v>191</v>
      </c>
      <c r="C27" s="207"/>
      <c r="D27" s="128" t="s">
        <v>181</v>
      </c>
      <c r="E27" s="128" t="s">
        <v>182</v>
      </c>
      <c r="F27" s="130" t="s">
        <v>192</v>
      </c>
    </row>
    <row r="28" spans="1:6" x14ac:dyDescent="0.25">
      <c r="A28" s="95" t="s">
        <v>184</v>
      </c>
      <c r="B28" s="198">
        <v>52</v>
      </c>
      <c r="C28" s="198"/>
      <c r="D28" s="111">
        <f>'Servente de Limpreza (MHMTT)'!$G$125/'Servente de Limpreza (MHMTT)'!$C$125</f>
        <v>3.449185084706667</v>
      </c>
      <c r="E28" s="103">
        <f>D28*B28</f>
        <v>179.35762440474667</v>
      </c>
      <c r="F28" s="104">
        <f>5*E28</f>
        <v>896.78812202373342</v>
      </c>
    </row>
    <row r="29" spans="1:6" x14ac:dyDescent="0.25">
      <c r="A29" s="96" t="s">
        <v>185</v>
      </c>
      <c r="B29" s="192">
        <v>6</v>
      </c>
      <c r="C29" s="192"/>
      <c r="D29" s="112">
        <f>'Servente de Limpreza (MHMTT)'!$G$126/'Servente de Limpreza (MHMTT)'!$C$126</f>
        <v>4.5989134462755556</v>
      </c>
      <c r="E29" s="103">
        <f t="shared" ref="E29:E30" si="4">D29*B29</f>
        <v>27.593480677653332</v>
      </c>
      <c r="F29" s="104">
        <f t="shared" ref="F29:F30" si="5">5*E29</f>
        <v>137.96740338826666</v>
      </c>
    </row>
    <row r="30" spans="1:6" ht="15.75" thickBot="1" x14ac:dyDescent="0.3">
      <c r="A30" s="97" t="s">
        <v>186</v>
      </c>
      <c r="B30" s="191">
        <v>4</v>
      </c>
      <c r="C30" s="191"/>
      <c r="D30" s="113">
        <f>'Servente de Limpreza (MHMTT)'!$G$127/'Servente de Limpreza (MHMTT)'!$C$127</f>
        <v>4.7943672677422668</v>
      </c>
      <c r="E30" s="103">
        <f t="shared" si="4"/>
        <v>19.177469070969067</v>
      </c>
      <c r="F30" s="104">
        <f t="shared" si="5"/>
        <v>95.887345354845337</v>
      </c>
    </row>
    <row r="31" spans="1:6" ht="15.75" customHeight="1" thickBot="1" x14ac:dyDescent="0.3">
      <c r="A31" s="193" t="s">
        <v>187</v>
      </c>
      <c r="B31" s="194"/>
      <c r="C31" s="194"/>
      <c r="D31" s="194"/>
      <c r="E31" s="194"/>
      <c r="F31" s="107">
        <f>SUM(F28:F30)</f>
        <v>1130.6428707668454</v>
      </c>
    </row>
    <row r="32" spans="1:6" ht="22.5" customHeight="1" thickBot="1" x14ac:dyDescent="0.3">
      <c r="A32" s="186" t="s">
        <v>196</v>
      </c>
      <c r="B32" s="187"/>
      <c r="C32" s="187"/>
      <c r="D32" s="187"/>
      <c r="E32" s="187"/>
      <c r="F32" s="108">
        <f>SUM(F25,F31)</f>
        <v>62271.015480654853</v>
      </c>
    </row>
    <row r="33" spans="1:6" ht="15.75" thickBot="1" x14ac:dyDescent="0.3">
      <c r="A33" s="156"/>
      <c r="B33" s="156"/>
      <c r="C33" s="156"/>
      <c r="D33" s="156"/>
      <c r="E33" s="156"/>
      <c r="F33" s="156"/>
    </row>
    <row r="34" spans="1:6" ht="15.75" thickBot="1" x14ac:dyDescent="0.3">
      <c r="A34" s="201" t="s">
        <v>197</v>
      </c>
      <c r="B34" s="202"/>
      <c r="C34" s="202"/>
      <c r="D34" s="202"/>
      <c r="E34" s="202"/>
      <c r="F34" s="203"/>
    </row>
    <row r="35" spans="1:6" ht="45" x14ac:dyDescent="0.25">
      <c r="A35" s="132" t="s">
        <v>138</v>
      </c>
      <c r="B35" s="133" t="s">
        <v>172</v>
      </c>
      <c r="C35" s="134" t="s">
        <v>173</v>
      </c>
      <c r="D35" s="134" t="s">
        <v>174</v>
      </c>
      <c r="E35" s="134" t="s">
        <v>175</v>
      </c>
      <c r="F35" s="135" t="s">
        <v>198</v>
      </c>
    </row>
    <row r="36" spans="1:6" ht="75" customHeight="1" thickBot="1" x14ac:dyDescent="0.3">
      <c r="A36" s="97" t="s">
        <v>157</v>
      </c>
      <c r="B36" s="126" t="s">
        <v>177</v>
      </c>
      <c r="C36" s="126">
        <f>'Auxiliar de Manutenção Predial'!E132</f>
        <v>1</v>
      </c>
      <c r="D36" s="106">
        <f>C36*'Auxiliar de Manutenção Predial'!$G$120</f>
        <v>605.10400000000004</v>
      </c>
      <c r="E36" s="106">
        <f>12*D36</f>
        <v>7261.2480000000005</v>
      </c>
      <c r="F36" s="110">
        <f>5*E36</f>
        <v>36306.240000000005</v>
      </c>
    </row>
    <row r="37" spans="1:6" ht="15.75" thickBot="1" x14ac:dyDescent="0.3">
      <c r="A37" s="195" t="s">
        <v>178</v>
      </c>
      <c r="B37" s="196"/>
      <c r="C37" s="196"/>
      <c r="D37" s="196"/>
      <c r="E37" s="196"/>
      <c r="F37" s="197"/>
    </row>
    <row r="38" spans="1:6" ht="45.75" thickBot="1" x14ac:dyDescent="0.3">
      <c r="A38" s="127" t="s">
        <v>179</v>
      </c>
      <c r="B38" s="207" t="s">
        <v>191</v>
      </c>
      <c r="C38" s="207"/>
      <c r="D38" s="128" t="s">
        <v>181</v>
      </c>
      <c r="E38" s="128" t="s">
        <v>182</v>
      </c>
      <c r="F38" s="130" t="s">
        <v>176</v>
      </c>
    </row>
    <row r="39" spans="1:6" x14ac:dyDescent="0.25">
      <c r="A39" s="95" t="s">
        <v>184</v>
      </c>
      <c r="B39" s="198">
        <v>44</v>
      </c>
      <c r="C39" s="198"/>
      <c r="D39" s="111">
        <f>'Auxiliar de Manutenção Predial'!$G$125/'Auxiliar de Manutenção Predial'!$C$125</f>
        <v>0</v>
      </c>
      <c r="E39" s="103">
        <f>D39*B39</f>
        <v>0</v>
      </c>
      <c r="F39" s="104">
        <f>5*E39</f>
        <v>0</v>
      </c>
    </row>
    <row r="40" spans="1:6" x14ac:dyDescent="0.25">
      <c r="A40" s="96" t="s">
        <v>185</v>
      </c>
      <c r="B40" s="192">
        <v>6</v>
      </c>
      <c r="C40" s="192"/>
      <c r="D40" s="112">
        <f>'Auxiliar de Manutenção Predial'!$G$126/'Auxiliar de Manutenção Predial'!$C$126</f>
        <v>0</v>
      </c>
      <c r="E40" s="103">
        <f t="shared" ref="E40:E41" si="6">D40*B40</f>
        <v>0</v>
      </c>
      <c r="F40" s="104">
        <f t="shared" ref="F40:F41" si="7">5*E40</f>
        <v>0</v>
      </c>
    </row>
    <row r="41" spans="1:6" ht="15.75" thickBot="1" x14ac:dyDescent="0.3">
      <c r="A41" s="97" t="s">
        <v>186</v>
      </c>
      <c r="B41" s="191">
        <v>4</v>
      </c>
      <c r="C41" s="191"/>
      <c r="D41" s="113">
        <f>'Auxiliar de Manutenção Predial'!$G$127/'Auxiliar de Manutenção Predial'!$C$127</f>
        <v>0</v>
      </c>
      <c r="E41" s="103">
        <f t="shared" si="6"/>
        <v>0</v>
      </c>
      <c r="F41" s="104">
        <f t="shared" si="7"/>
        <v>0</v>
      </c>
    </row>
    <row r="42" spans="1:6" ht="15.75" customHeight="1" thickBot="1" x14ac:dyDescent="0.3">
      <c r="A42" s="193" t="s">
        <v>187</v>
      </c>
      <c r="B42" s="194"/>
      <c r="C42" s="194"/>
      <c r="D42" s="194"/>
      <c r="E42" s="194"/>
      <c r="F42" s="107">
        <f>SUM(F39:F41)</f>
        <v>0</v>
      </c>
    </row>
    <row r="43" spans="1:6" ht="23.25" customHeight="1" thickBot="1" x14ac:dyDescent="0.3">
      <c r="A43" s="186" t="s">
        <v>199</v>
      </c>
      <c r="B43" s="187"/>
      <c r="C43" s="187"/>
      <c r="D43" s="187"/>
      <c r="E43" s="187"/>
      <c r="F43" s="108">
        <f>SUM(F36,F42)</f>
        <v>36306.240000000005</v>
      </c>
    </row>
    <row r="44" spans="1:6" ht="15.75" thickBot="1" x14ac:dyDescent="0.3">
      <c r="A44" s="156"/>
      <c r="B44" s="156"/>
      <c r="C44" s="156"/>
      <c r="D44" s="156"/>
      <c r="E44" s="156"/>
      <c r="F44" s="156"/>
    </row>
    <row r="45" spans="1:6" ht="15.75" thickBot="1" x14ac:dyDescent="0.3">
      <c r="A45" s="201" t="s">
        <v>200</v>
      </c>
      <c r="B45" s="202"/>
      <c r="C45" s="202"/>
      <c r="D45" s="202"/>
      <c r="E45" s="202"/>
      <c r="F45" s="203"/>
    </row>
    <row r="46" spans="1:6" ht="45.75" thickBot="1" x14ac:dyDescent="0.3">
      <c r="A46" s="127" t="s">
        <v>138</v>
      </c>
      <c r="B46" s="128" t="s">
        <v>172</v>
      </c>
      <c r="C46" s="128" t="s">
        <v>173</v>
      </c>
      <c r="D46" s="128" t="s">
        <v>174</v>
      </c>
      <c r="E46" s="128" t="s">
        <v>174</v>
      </c>
      <c r="F46" s="130" t="s">
        <v>176</v>
      </c>
    </row>
    <row r="47" spans="1:6" ht="75" customHeight="1" thickBot="1" x14ac:dyDescent="0.3">
      <c r="A47" s="98" t="s">
        <v>158</v>
      </c>
      <c r="B47" s="99" t="s">
        <v>177</v>
      </c>
      <c r="C47" s="99">
        <f>Recepcionista!E132</f>
        <v>9</v>
      </c>
      <c r="D47" s="114">
        <f>C47*Recepcionista!$G$120</f>
        <v>5445.9360000000006</v>
      </c>
      <c r="E47" s="114">
        <f>12*D47</f>
        <v>65351.232000000004</v>
      </c>
      <c r="F47" s="115">
        <f>5*E47</f>
        <v>326756.16000000003</v>
      </c>
    </row>
    <row r="48" spans="1:6" ht="15.75" thickBot="1" x14ac:dyDescent="0.3">
      <c r="A48" s="208" t="s">
        <v>178</v>
      </c>
      <c r="B48" s="209"/>
      <c r="C48" s="209"/>
      <c r="D48" s="209"/>
      <c r="E48" s="209"/>
      <c r="F48" s="210"/>
    </row>
    <row r="49" spans="1:6" ht="45.75" thickBot="1" x14ac:dyDescent="0.3">
      <c r="A49" s="127" t="s">
        <v>179</v>
      </c>
      <c r="B49" s="160" t="s">
        <v>191</v>
      </c>
      <c r="C49" s="161"/>
      <c r="D49" s="128" t="s">
        <v>181</v>
      </c>
      <c r="E49" s="128" t="s">
        <v>182</v>
      </c>
      <c r="F49" s="130" t="s">
        <v>192</v>
      </c>
    </row>
    <row r="50" spans="1:6" x14ac:dyDescent="0.25">
      <c r="A50" s="95" t="s">
        <v>184</v>
      </c>
      <c r="B50" s="198">
        <v>832</v>
      </c>
      <c r="C50" s="198"/>
      <c r="D50" s="111">
        <f>Recepcionista!$G$125/Recepcionista!$C$125</f>
        <v>0</v>
      </c>
      <c r="E50" s="103">
        <f>D50*B50</f>
        <v>0</v>
      </c>
      <c r="F50" s="104">
        <f>5*E50</f>
        <v>0</v>
      </c>
    </row>
    <row r="51" spans="1:6" x14ac:dyDescent="0.25">
      <c r="A51" s="96" t="s">
        <v>185</v>
      </c>
      <c r="B51" s="192">
        <v>144</v>
      </c>
      <c r="C51" s="192"/>
      <c r="D51" s="112">
        <f>Recepcionista!$G$126/Recepcionista!$C$126</f>
        <v>0</v>
      </c>
      <c r="E51" s="103">
        <f t="shared" ref="E51:E52" si="8">D51*B51</f>
        <v>0</v>
      </c>
      <c r="F51" s="104">
        <f t="shared" ref="F51:F52" si="9">5*E51</f>
        <v>0</v>
      </c>
    </row>
    <row r="52" spans="1:6" ht="15.75" thickBot="1" x14ac:dyDescent="0.3">
      <c r="A52" s="97" t="s">
        <v>186</v>
      </c>
      <c r="B52" s="191">
        <v>192</v>
      </c>
      <c r="C52" s="191"/>
      <c r="D52" s="113">
        <f>Recepcionista!$G$127/Recepcionista!$C$127</f>
        <v>0</v>
      </c>
      <c r="E52" s="103">
        <f t="shared" si="8"/>
        <v>0</v>
      </c>
      <c r="F52" s="104">
        <f t="shared" si="9"/>
        <v>0</v>
      </c>
    </row>
    <row r="53" spans="1:6" ht="15.75" customHeight="1" thickBot="1" x14ac:dyDescent="0.3">
      <c r="A53" s="193" t="s">
        <v>187</v>
      </c>
      <c r="B53" s="194"/>
      <c r="C53" s="194"/>
      <c r="D53" s="194"/>
      <c r="E53" s="194"/>
      <c r="F53" s="107">
        <f>SUM(F50:F52)</f>
        <v>0</v>
      </c>
    </row>
    <row r="54" spans="1:6" ht="22.5" customHeight="1" thickBot="1" x14ac:dyDescent="0.3">
      <c r="A54" s="199" t="s">
        <v>201</v>
      </c>
      <c r="B54" s="200"/>
      <c r="C54" s="200"/>
      <c r="D54" s="200"/>
      <c r="E54" s="200"/>
      <c r="F54" s="108">
        <f>SUM(F47,F53)</f>
        <v>326756.16000000003</v>
      </c>
    </row>
    <row r="55" spans="1:6" ht="15.75" thickBot="1" x14ac:dyDescent="0.3">
      <c r="A55" s="156"/>
      <c r="B55" s="156"/>
      <c r="C55" s="156"/>
      <c r="D55" s="156"/>
      <c r="E55" s="156"/>
      <c r="F55" s="156"/>
    </row>
    <row r="56" spans="1:6" ht="15.75" thickBot="1" x14ac:dyDescent="0.3">
      <c r="A56" s="201" t="s">
        <v>202</v>
      </c>
      <c r="B56" s="202"/>
      <c r="C56" s="202"/>
      <c r="D56" s="202"/>
      <c r="E56" s="202"/>
      <c r="F56" s="203"/>
    </row>
    <row r="57" spans="1:6" ht="45.75" thickBot="1" x14ac:dyDescent="0.3">
      <c r="A57" s="127" t="s">
        <v>138</v>
      </c>
      <c r="B57" s="128" t="s">
        <v>172</v>
      </c>
      <c r="C57" s="128" t="s">
        <v>173</v>
      </c>
      <c r="D57" s="128" t="s">
        <v>174</v>
      </c>
      <c r="E57" s="128" t="s">
        <v>174</v>
      </c>
      <c r="F57" s="130" t="s">
        <v>176</v>
      </c>
    </row>
    <row r="58" spans="1:6" ht="75" customHeight="1" thickBot="1" x14ac:dyDescent="0.3">
      <c r="A58" s="89" t="s">
        <v>159</v>
      </c>
      <c r="B58" s="90" t="s">
        <v>177</v>
      </c>
      <c r="C58" s="90">
        <f>'Assistente Administrativo I'!E132</f>
        <v>4</v>
      </c>
      <c r="D58" s="109">
        <f>C58*'Assistente Administrativo I'!$G$120</f>
        <v>2420.4160000000002</v>
      </c>
      <c r="E58" s="109">
        <f>12*D58</f>
        <v>29044.992000000002</v>
      </c>
      <c r="F58" s="116">
        <f>5*E58</f>
        <v>145224.96000000002</v>
      </c>
    </row>
    <row r="59" spans="1:6" ht="15.75" thickBot="1" x14ac:dyDescent="0.3">
      <c r="A59" s="204" t="s">
        <v>178</v>
      </c>
      <c r="B59" s="205"/>
      <c r="C59" s="205"/>
      <c r="D59" s="205"/>
      <c r="E59" s="205"/>
      <c r="F59" s="206"/>
    </row>
    <row r="60" spans="1:6" ht="45.75" thickBot="1" x14ac:dyDescent="0.3">
      <c r="A60" s="127" t="s">
        <v>179</v>
      </c>
      <c r="B60" s="207" t="s">
        <v>191</v>
      </c>
      <c r="C60" s="207"/>
      <c r="D60" s="128" t="s">
        <v>181</v>
      </c>
      <c r="E60" s="128" t="s">
        <v>182</v>
      </c>
      <c r="F60" s="130" t="s">
        <v>192</v>
      </c>
    </row>
    <row r="61" spans="1:6" x14ac:dyDescent="0.25">
      <c r="A61" s="95" t="s">
        <v>184</v>
      </c>
      <c r="B61" s="198">
        <v>360</v>
      </c>
      <c r="C61" s="198"/>
      <c r="D61" s="111">
        <f>'Assistente Administrativo I'!$G$125/'Assistente Administrativo I'!$C$125</f>
        <v>0</v>
      </c>
      <c r="E61" s="103">
        <f>D61*B61</f>
        <v>0</v>
      </c>
      <c r="F61" s="104">
        <f>5*E61</f>
        <v>0</v>
      </c>
    </row>
    <row r="62" spans="1:6" x14ac:dyDescent="0.25">
      <c r="A62" s="96" t="s">
        <v>185</v>
      </c>
      <c r="B62" s="192">
        <v>77</v>
      </c>
      <c r="C62" s="192"/>
      <c r="D62" s="112">
        <f>'Assistente Administrativo I'!$G$126/'Assistente Administrativo I'!$C$126</f>
        <v>0</v>
      </c>
      <c r="E62" s="103">
        <f t="shared" ref="E62:E63" si="10">D62*B62</f>
        <v>0</v>
      </c>
      <c r="F62" s="104">
        <f t="shared" ref="F62:F63" si="11">5*E62</f>
        <v>0</v>
      </c>
    </row>
    <row r="63" spans="1:6" ht="15.75" thickBot="1" x14ac:dyDescent="0.3">
      <c r="A63" s="97" t="s">
        <v>186</v>
      </c>
      <c r="B63" s="191">
        <v>77</v>
      </c>
      <c r="C63" s="191"/>
      <c r="D63" s="113">
        <f>'Assistente Administrativo I'!$G$127/'Assistente Administrativo I'!$C$127</f>
        <v>0</v>
      </c>
      <c r="E63" s="103">
        <f t="shared" si="10"/>
        <v>0</v>
      </c>
      <c r="F63" s="104">
        <f t="shared" si="11"/>
        <v>0</v>
      </c>
    </row>
    <row r="64" spans="1:6" ht="15.75" customHeight="1" thickBot="1" x14ac:dyDescent="0.3">
      <c r="A64" s="193" t="s">
        <v>187</v>
      </c>
      <c r="B64" s="194"/>
      <c r="C64" s="194"/>
      <c r="D64" s="194"/>
      <c r="E64" s="194"/>
      <c r="F64" s="107">
        <f>SUM(F61:F63)</f>
        <v>0</v>
      </c>
    </row>
    <row r="65" spans="1:6" ht="22.5" customHeight="1" thickBot="1" x14ac:dyDescent="0.3">
      <c r="A65" s="186" t="s">
        <v>203</v>
      </c>
      <c r="B65" s="187"/>
      <c r="C65" s="187"/>
      <c r="D65" s="187"/>
      <c r="E65" s="187"/>
      <c r="F65" s="108">
        <f>SUM(F58,F64)</f>
        <v>145224.96000000002</v>
      </c>
    </row>
    <row r="66" spans="1:6" ht="15.75" thickBot="1" x14ac:dyDescent="0.3">
      <c r="A66" s="156"/>
      <c r="B66" s="156"/>
      <c r="C66" s="156"/>
      <c r="D66" s="156"/>
      <c r="E66" s="156"/>
      <c r="F66" s="156"/>
    </row>
    <row r="67" spans="1:6" ht="15.75" thickBot="1" x14ac:dyDescent="0.3">
      <c r="A67" s="157" t="s">
        <v>204</v>
      </c>
      <c r="B67" s="158"/>
      <c r="C67" s="158"/>
      <c r="D67" s="158"/>
      <c r="E67" s="158"/>
      <c r="F67" s="159"/>
    </row>
    <row r="68" spans="1:6" ht="45.75" thickBot="1" x14ac:dyDescent="0.3">
      <c r="A68" s="127" t="s">
        <v>138</v>
      </c>
      <c r="B68" s="128" t="s">
        <v>172</v>
      </c>
      <c r="C68" s="128" t="s">
        <v>173</v>
      </c>
      <c r="D68" s="128" t="s">
        <v>174</v>
      </c>
      <c r="E68" s="128" t="s">
        <v>174</v>
      </c>
      <c r="F68" s="130" t="s">
        <v>176</v>
      </c>
    </row>
    <row r="69" spans="1:6" ht="75" customHeight="1" thickBot="1" x14ac:dyDescent="0.3">
      <c r="A69" s="100" t="s">
        <v>205</v>
      </c>
      <c r="B69" s="99" t="s">
        <v>177</v>
      </c>
      <c r="C69" s="99">
        <f>'Assistente Adm. - MHMTT'!E132</f>
        <v>1</v>
      </c>
      <c r="D69" s="114">
        <f>C69*'Assistente Adm. - MHMTT'!$G$120</f>
        <v>1019.0062101648001</v>
      </c>
      <c r="E69" s="114">
        <f>12*D69</f>
        <v>12228.074521977602</v>
      </c>
      <c r="F69" s="115">
        <f>5*E69</f>
        <v>61140.372609888007</v>
      </c>
    </row>
    <row r="70" spans="1:6" ht="15.75" thickBot="1" x14ac:dyDescent="0.3">
      <c r="A70" s="195" t="s">
        <v>178</v>
      </c>
      <c r="B70" s="196"/>
      <c r="C70" s="196"/>
      <c r="D70" s="196"/>
      <c r="E70" s="196"/>
      <c r="F70" s="197"/>
    </row>
    <row r="71" spans="1:6" ht="45.75" thickBot="1" x14ac:dyDescent="0.3">
      <c r="A71" s="136" t="s">
        <v>179</v>
      </c>
      <c r="B71" s="155" t="s">
        <v>191</v>
      </c>
      <c r="C71" s="155"/>
      <c r="D71" s="137" t="s">
        <v>181</v>
      </c>
      <c r="E71" s="137" t="s">
        <v>182</v>
      </c>
      <c r="F71" s="138" t="s">
        <v>192</v>
      </c>
    </row>
    <row r="72" spans="1:6" x14ac:dyDescent="0.25">
      <c r="A72" s="95" t="s">
        <v>184</v>
      </c>
      <c r="B72" s="198">
        <v>90</v>
      </c>
      <c r="C72" s="198"/>
      <c r="D72" s="111">
        <f>'Assistente Adm. - MHMTT'!$G$125/'Assistente Adm. - MHMTT'!$C$125</f>
        <v>3.449185084706667</v>
      </c>
      <c r="E72" s="117">
        <f>D72*B72</f>
        <v>310.42665762360002</v>
      </c>
      <c r="F72" s="118">
        <f>5*E72</f>
        <v>1552.1332881180001</v>
      </c>
    </row>
    <row r="73" spans="1:6" x14ac:dyDescent="0.25">
      <c r="A73" s="96" t="s">
        <v>185</v>
      </c>
      <c r="B73" s="192">
        <v>19</v>
      </c>
      <c r="C73" s="192"/>
      <c r="D73" s="112">
        <f>'Assistente Adm. - MHMTT'!$G$126/'Assistente Adm. - MHMTT'!$C$126</f>
        <v>4.5989134462755556</v>
      </c>
      <c r="E73" s="103">
        <f t="shared" ref="E73:E74" si="12">D73*B73</f>
        <v>87.379355479235556</v>
      </c>
      <c r="F73" s="104">
        <f t="shared" ref="F73" si="13">5*E73</f>
        <v>436.89677739617775</v>
      </c>
    </row>
    <row r="74" spans="1:6" ht="15.75" thickBot="1" x14ac:dyDescent="0.3">
      <c r="A74" s="97" t="s">
        <v>186</v>
      </c>
      <c r="B74" s="191">
        <v>19</v>
      </c>
      <c r="C74" s="191"/>
      <c r="D74" s="113">
        <f>'Assistente Adm. - MHMTT'!$G$127/'Assistente Adm. - MHMTT'!$C$127</f>
        <v>4.7943672677422668</v>
      </c>
      <c r="E74" s="109">
        <f t="shared" si="12"/>
        <v>91.092978087103063</v>
      </c>
      <c r="F74" s="102">
        <f>5*E74</f>
        <v>455.46489043551531</v>
      </c>
    </row>
    <row r="75" spans="1:6" ht="15.75" customHeight="1" thickBot="1" x14ac:dyDescent="0.3">
      <c r="A75" s="184" t="s">
        <v>187</v>
      </c>
      <c r="B75" s="185"/>
      <c r="C75" s="185"/>
      <c r="D75" s="185"/>
      <c r="E75" s="185"/>
      <c r="F75" s="107">
        <f>SUM(F72:F74)</f>
        <v>2444.4949559496931</v>
      </c>
    </row>
    <row r="76" spans="1:6" ht="22.5" customHeight="1" thickBot="1" x14ac:dyDescent="0.3">
      <c r="A76" s="186" t="s">
        <v>206</v>
      </c>
      <c r="B76" s="187"/>
      <c r="C76" s="187"/>
      <c r="D76" s="187"/>
      <c r="E76" s="187"/>
      <c r="F76" s="108">
        <f>SUM(F69,F75)</f>
        <v>63584.867565837703</v>
      </c>
    </row>
    <row r="77" spans="1:6" ht="15.75" thickBot="1" x14ac:dyDescent="0.3">
      <c r="A77" s="156"/>
      <c r="B77" s="156"/>
      <c r="C77" s="156"/>
      <c r="D77" s="156"/>
      <c r="E77" s="156"/>
      <c r="F77" s="156"/>
    </row>
    <row r="78" spans="1:6" ht="15.75" thickBot="1" x14ac:dyDescent="0.3">
      <c r="A78" s="188" t="s">
        <v>207</v>
      </c>
      <c r="B78" s="189"/>
      <c r="C78" s="189"/>
      <c r="D78" s="189"/>
      <c r="E78" s="189"/>
      <c r="F78" s="190"/>
    </row>
    <row r="79" spans="1:6" ht="45.75" thickBot="1" x14ac:dyDescent="0.3">
      <c r="A79" s="127" t="s">
        <v>138</v>
      </c>
      <c r="B79" s="128" t="s">
        <v>172</v>
      </c>
      <c r="C79" s="128" t="s">
        <v>173</v>
      </c>
      <c r="D79" s="128" t="s">
        <v>174</v>
      </c>
      <c r="E79" s="128" t="s">
        <v>174</v>
      </c>
      <c r="F79" s="130" t="s">
        <v>176</v>
      </c>
    </row>
    <row r="80" spans="1:6" ht="75" customHeight="1" thickBot="1" x14ac:dyDescent="0.3">
      <c r="A80" s="100" t="s">
        <v>162</v>
      </c>
      <c r="B80" s="99" t="s">
        <v>208</v>
      </c>
      <c r="C80" s="99">
        <f>'Motorista I'!E138</f>
        <v>1</v>
      </c>
      <c r="D80" s="119">
        <f>C80*'Motorista I'!$G$120</f>
        <v>570.43200000000002</v>
      </c>
      <c r="E80" s="119">
        <f>12*D80</f>
        <v>6845.1840000000002</v>
      </c>
      <c r="F80" s="107">
        <f>5*E80</f>
        <v>34225.919999999998</v>
      </c>
    </row>
    <row r="81" spans="1:6" ht="15.75" thickBot="1" x14ac:dyDescent="0.3">
      <c r="A81" s="171" t="s">
        <v>178</v>
      </c>
      <c r="B81" s="172"/>
      <c r="C81" s="172"/>
      <c r="D81" s="172"/>
      <c r="E81" s="172"/>
      <c r="F81" s="173"/>
    </row>
    <row r="82" spans="1:6" ht="45.75" thickBot="1" x14ac:dyDescent="0.3">
      <c r="A82" s="136" t="s">
        <v>179</v>
      </c>
      <c r="B82" s="160" t="s">
        <v>191</v>
      </c>
      <c r="C82" s="161"/>
      <c r="D82" s="137" t="s">
        <v>181</v>
      </c>
      <c r="E82" s="137" t="s">
        <v>182</v>
      </c>
      <c r="F82" s="138" t="s">
        <v>192</v>
      </c>
    </row>
    <row r="83" spans="1:6" x14ac:dyDescent="0.25">
      <c r="A83" s="95" t="s">
        <v>184</v>
      </c>
      <c r="B83" s="162">
        <v>130</v>
      </c>
      <c r="C83" s="163"/>
      <c r="D83" s="111">
        <f>'Motorista I'!$G$125/'Motorista I'!$C$125</f>
        <v>0</v>
      </c>
      <c r="E83" s="117">
        <f>D83*B83</f>
        <v>0</v>
      </c>
      <c r="F83" s="118">
        <f>5*E83</f>
        <v>0</v>
      </c>
    </row>
    <row r="84" spans="1:6" x14ac:dyDescent="0.25">
      <c r="A84" s="96" t="s">
        <v>185</v>
      </c>
      <c r="B84" s="164">
        <v>39</v>
      </c>
      <c r="C84" s="165"/>
      <c r="D84" s="112">
        <f>'Motorista I'!$G$126/'Motorista I'!$C$126</f>
        <v>0</v>
      </c>
      <c r="E84" s="103">
        <f t="shared" ref="E84:E85" si="14">D84*B84</f>
        <v>0</v>
      </c>
      <c r="F84" s="104">
        <f t="shared" ref="F84:F85" si="15">5*E84</f>
        <v>0</v>
      </c>
    </row>
    <row r="85" spans="1:6" ht="15.75" thickBot="1" x14ac:dyDescent="0.3">
      <c r="A85" s="97" t="s">
        <v>186</v>
      </c>
      <c r="B85" s="166">
        <v>50</v>
      </c>
      <c r="C85" s="167"/>
      <c r="D85" s="113">
        <f>'Motorista I'!$G$127/'Motorista I'!$C$127</f>
        <v>0</v>
      </c>
      <c r="E85" s="109">
        <f t="shared" si="14"/>
        <v>0</v>
      </c>
      <c r="F85" s="102">
        <f t="shared" si="15"/>
        <v>0</v>
      </c>
    </row>
    <row r="86" spans="1:6" ht="15.75" customHeight="1" thickBot="1" x14ac:dyDescent="0.3">
      <c r="A86" s="174" t="s">
        <v>187</v>
      </c>
      <c r="B86" s="175"/>
      <c r="C86" s="175"/>
      <c r="D86" s="175"/>
      <c r="E86" s="176"/>
      <c r="F86" s="102">
        <f>SUM(F83:F85)</f>
        <v>0</v>
      </c>
    </row>
    <row r="87" spans="1:6" ht="23.25" customHeight="1" thickBot="1" x14ac:dyDescent="0.3">
      <c r="A87" s="171" t="s">
        <v>211</v>
      </c>
      <c r="B87" s="172"/>
      <c r="C87" s="172"/>
      <c r="D87" s="172"/>
      <c r="E87" s="172"/>
      <c r="F87" s="173"/>
    </row>
    <row r="88" spans="1:6" ht="45.75" thickBot="1" x14ac:dyDescent="0.3">
      <c r="A88" s="127" t="s">
        <v>212</v>
      </c>
      <c r="B88" s="160" t="s">
        <v>191</v>
      </c>
      <c r="C88" s="161"/>
      <c r="D88" s="128" t="s">
        <v>181</v>
      </c>
      <c r="E88" s="128" t="s">
        <v>182</v>
      </c>
      <c r="F88" s="130" t="s">
        <v>213</v>
      </c>
    </row>
    <row r="89" spans="1:6" ht="22.5" x14ac:dyDescent="0.25">
      <c r="A89" s="95" t="s">
        <v>214</v>
      </c>
      <c r="B89" s="182">
        <v>24</v>
      </c>
      <c r="C89" s="183"/>
      <c r="D89" s="120">
        <v>112.5</v>
      </c>
      <c r="E89" s="117">
        <f>B89*D89</f>
        <v>2700</v>
      </c>
      <c r="F89" s="118">
        <f>5*E89</f>
        <v>13500</v>
      </c>
    </row>
    <row r="90" spans="1:6" ht="15.75" thickBot="1" x14ac:dyDescent="0.3">
      <c r="A90" s="97" t="s">
        <v>215</v>
      </c>
      <c r="B90" s="180">
        <v>34</v>
      </c>
      <c r="C90" s="181"/>
      <c r="D90" s="121">
        <v>390</v>
      </c>
      <c r="E90" s="106">
        <f>B90*D90</f>
        <v>13260</v>
      </c>
      <c r="F90" s="122">
        <f>5*E90</f>
        <v>66300</v>
      </c>
    </row>
    <row r="91" spans="1:6" ht="15.75" customHeight="1" thickBot="1" x14ac:dyDescent="0.3">
      <c r="A91" s="174" t="s">
        <v>216</v>
      </c>
      <c r="B91" s="175"/>
      <c r="C91" s="175"/>
      <c r="D91" s="175"/>
      <c r="E91" s="176"/>
      <c r="F91" s="102">
        <f>SUM(F89:F90)</f>
        <v>79800</v>
      </c>
    </row>
    <row r="92" spans="1:6" ht="24" customHeight="1" thickBot="1" x14ac:dyDescent="0.3">
      <c r="A92" s="177" t="s">
        <v>217</v>
      </c>
      <c r="B92" s="178"/>
      <c r="C92" s="178"/>
      <c r="D92" s="178"/>
      <c r="E92" s="179"/>
      <c r="F92" s="108">
        <f>SUM(F80,F86,F91)</f>
        <v>114025.92</v>
      </c>
    </row>
    <row r="93" spans="1:6" ht="15.75" thickBot="1" x14ac:dyDescent="0.3">
      <c r="A93" s="156"/>
      <c r="B93" s="156"/>
      <c r="C93" s="156"/>
      <c r="D93" s="156"/>
      <c r="E93" s="156"/>
      <c r="F93" s="156"/>
    </row>
    <row r="94" spans="1:6" ht="15.75" thickBot="1" x14ac:dyDescent="0.3">
      <c r="A94" s="157" t="s">
        <v>209</v>
      </c>
      <c r="B94" s="158"/>
      <c r="C94" s="158"/>
      <c r="D94" s="158"/>
      <c r="E94" s="158"/>
      <c r="F94" s="159"/>
    </row>
    <row r="95" spans="1:6" ht="45.75" thickBot="1" x14ac:dyDescent="0.3">
      <c r="A95" s="127" t="s">
        <v>138</v>
      </c>
      <c r="B95" s="128" t="s">
        <v>172</v>
      </c>
      <c r="C95" s="128" t="s">
        <v>173</v>
      </c>
      <c r="D95" s="128" t="s">
        <v>174</v>
      </c>
      <c r="E95" s="128" t="s">
        <v>174</v>
      </c>
      <c r="F95" s="130" t="s">
        <v>176</v>
      </c>
    </row>
    <row r="96" spans="1:6" ht="75" customHeight="1" thickBot="1" x14ac:dyDescent="0.3">
      <c r="A96" s="100" t="s">
        <v>210</v>
      </c>
      <c r="B96" s="99" t="s">
        <v>208</v>
      </c>
      <c r="C96" s="99">
        <f>'Motorista II'!E138</f>
        <v>1</v>
      </c>
      <c r="D96" s="119">
        <f>C96*'Motorista II'!$G$120</f>
        <v>570.43200000000002</v>
      </c>
      <c r="E96" s="119">
        <f>12*D96</f>
        <v>6845.1840000000002</v>
      </c>
      <c r="F96" s="107">
        <f>5*E96</f>
        <v>34225.919999999998</v>
      </c>
    </row>
    <row r="97" spans="1:10" ht="15.75" customHeight="1" thickBot="1" x14ac:dyDescent="0.3">
      <c r="A97" s="168" t="s">
        <v>178</v>
      </c>
      <c r="B97" s="169"/>
      <c r="C97" s="169"/>
      <c r="D97" s="169"/>
      <c r="E97" s="169"/>
      <c r="F97" s="170"/>
    </row>
    <row r="98" spans="1:10" ht="22.5" customHeight="1" thickBot="1" x14ac:dyDescent="0.3">
      <c r="A98" s="136" t="s">
        <v>179</v>
      </c>
      <c r="B98" s="155" t="s">
        <v>191</v>
      </c>
      <c r="C98" s="155"/>
      <c r="D98" s="137" t="s">
        <v>181</v>
      </c>
      <c r="E98" s="137" t="s">
        <v>182</v>
      </c>
      <c r="F98" s="138" t="s">
        <v>192</v>
      </c>
    </row>
    <row r="99" spans="1:10" x14ac:dyDescent="0.25">
      <c r="A99" s="95" t="s">
        <v>184</v>
      </c>
      <c r="B99" s="198">
        <v>130</v>
      </c>
      <c r="C99" s="198"/>
      <c r="D99" s="111">
        <f>'Motorista II'!$G$125/'Motorista II'!$C$125</f>
        <v>0</v>
      </c>
      <c r="E99" s="117">
        <f>D99*B99</f>
        <v>0</v>
      </c>
      <c r="F99" s="118">
        <f>5*E99</f>
        <v>0</v>
      </c>
    </row>
    <row r="100" spans="1:10" x14ac:dyDescent="0.25">
      <c r="A100" s="96" t="s">
        <v>185</v>
      </c>
      <c r="B100" s="192">
        <v>39</v>
      </c>
      <c r="C100" s="192"/>
      <c r="D100" s="112">
        <f>'Motorista II'!$G$126/'Motorista II'!$C$126</f>
        <v>0</v>
      </c>
      <c r="E100" s="103">
        <f t="shared" ref="E100:E101" si="16">D100*B100</f>
        <v>0</v>
      </c>
      <c r="F100" s="104">
        <f t="shared" ref="F100:F101" si="17">5*E100</f>
        <v>0</v>
      </c>
    </row>
    <row r="101" spans="1:10" ht="15.75" thickBot="1" x14ac:dyDescent="0.3">
      <c r="A101" s="97" t="s">
        <v>186</v>
      </c>
      <c r="B101" s="191">
        <v>50</v>
      </c>
      <c r="C101" s="191"/>
      <c r="D101" s="113">
        <f>'Motorista II'!$G$127/'Motorista II'!$C$127</f>
        <v>0</v>
      </c>
      <c r="E101" s="109">
        <f t="shared" si="16"/>
        <v>0</v>
      </c>
      <c r="F101" s="102">
        <f t="shared" si="17"/>
        <v>0</v>
      </c>
    </row>
    <row r="102" spans="1:10" ht="15.75" customHeight="1" thickBot="1" x14ac:dyDescent="0.3">
      <c r="A102" s="184" t="s">
        <v>187</v>
      </c>
      <c r="B102" s="185"/>
      <c r="C102" s="185"/>
      <c r="D102" s="185"/>
      <c r="E102" s="185"/>
      <c r="F102" s="102">
        <f>SUM(F99:F101)</f>
        <v>0</v>
      </c>
    </row>
    <row r="103" spans="1:10" ht="15.75" customHeight="1" thickBot="1" x14ac:dyDescent="0.3">
      <c r="A103" s="168" t="s">
        <v>211</v>
      </c>
      <c r="B103" s="169"/>
      <c r="C103" s="169"/>
      <c r="D103" s="169"/>
      <c r="E103" s="169"/>
      <c r="F103" s="170"/>
      <c r="J103" s="124"/>
    </row>
    <row r="104" spans="1:10" ht="45.75" thickBot="1" x14ac:dyDescent="0.3">
      <c r="A104" s="127" t="s">
        <v>212</v>
      </c>
      <c r="B104" s="207" t="s">
        <v>191</v>
      </c>
      <c r="C104" s="207"/>
      <c r="D104" s="128" t="s">
        <v>181</v>
      </c>
      <c r="E104" s="128" t="s">
        <v>182</v>
      </c>
      <c r="F104" s="130" t="s">
        <v>213</v>
      </c>
    </row>
    <row r="105" spans="1:10" ht="22.5" x14ac:dyDescent="0.25">
      <c r="A105" s="95" t="s">
        <v>214</v>
      </c>
      <c r="B105" s="216">
        <v>23</v>
      </c>
      <c r="C105" s="216"/>
      <c r="D105" s="120">
        <v>112.5</v>
      </c>
      <c r="E105" s="117">
        <f>B105*D105</f>
        <v>2587.5</v>
      </c>
      <c r="F105" s="118">
        <f>5*E105</f>
        <v>12937.5</v>
      </c>
    </row>
    <row r="106" spans="1:10" ht="15.75" thickBot="1" x14ac:dyDescent="0.3">
      <c r="A106" s="97" t="s">
        <v>215</v>
      </c>
      <c r="B106" s="217">
        <v>33</v>
      </c>
      <c r="C106" s="217"/>
      <c r="D106" s="121">
        <v>390</v>
      </c>
      <c r="E106" s="106">
        <f>B106*D106</f>
        <v>12870</v>
      </c>
      <c r="F106" s="122">
        <f>5*E106</f>
        <v>64350</v>
      </c>
    </row>
    <row r="107" spans="1:10" ht="15.75" customHeight="1" thickBot="1" x14ac:dyDescent="0.3">
      <c r="A107" s="184" t="s">
        <v>216</v>
      </c>
      <c r="B107" s="185"/>
      <c r="C107" s="185"/>
      <c r="D107" s="185"/>
      <c r="E107" s="185"/>
      <c r="F107" s="102">
        <f>SUM(F105:F106)</f>
        <v>77287.5</v>
      </c>
    </row>
    <row r="108" spans="1:10" ht="24.75" customHeight="1" thickBot="1" x14ac:dyDescent="0.3">
      <c r="A108" s="186" t="s">
        <v>218</v>
      </c>
      <c r="B108" s="187"/>
      <c r="C108" s="187"/>
      <c r="D108" s="187"/>
      <c r="E108" s="187"/>
      <c r="F108" s="108">
        <f>SUM(F96,F102,F107)</f>
        <v>111513.42</v>
      </c>
    </row>
    <row r="109" spans="1:10" ht="15.75" thickBot="1" x14ac:dyDescent="0.3">
      <c r="A109" s="215"/>
      <c r="B109" s="215"/>
      <c r="C109" s="215"/>
      <c r="D109" s="215"/>
      <c r="E109" s="215"/>
      <c r="F109" s="215"/>
    </row>
    <row r="110" spans="1:10" ht="26.25" customHeight="1" thickBot="1" x14ac:dyDescent="0.3">
      <c r="A110" s="186" t="s">
        <v>219</v>
      </c>
      <c r="B110" s="187"/>
      <c r="C110" s="187"/>
      <c r="D110" s="187"/>
      <c r="E110" s="187"/>
      <c r="F110" s="123">
        <f>SUM(F10,F21,F54,F32,F43,F65,F76,F92,F108)</f>
        <v>1374432.8913065894</v>
      </c>
    </row>
  </sheetData>
  <sheetProtection algorithmName="SHA-512" hashValue="9RdbSpZqUlfRjWSNBwphpFP85nHtit7q3La4xGDFNECdMVuL8RUGEP063XXxKZVd5NX82jpHi5qiTBjgIgsYgQ==" saltValue="rR5zm46ezEOGwA7+/K8Tzg==" spinCount="100000" sheet="1" objects="1" scenarios="1"/>
  <mergeCells count="92">
    <mergeCell ref="A109:F109"/>
    <mergeCell ref="A110:E110"/>
    <mergeCell ref="B104:C104"/>
    <mergeCell ref="B105:C105"/>
    <mergeCell ref="B106:C106"/>
    <mergeCell ref="A107:E107"/>
    <mergeCell ref="A108:E108"/>
    <mergeCell ref="B99:C99"/>
    <mergeCell ref="B100:C100"/>
    <mergeCell ref="B101:C101"/>
    <mergeCell ref="A102:E102"/>
    <mergeCell ref="A103:F103"/>
    <mergeCell ref="B8:C8"/>
    <mergeCell ref="A21:E21"/>
    <mergeCell ref="A9:E9"/>
    <mergeCell ref="A10:E10"/>
    <mergeCell ref="A11:F11"/>
    <mergeCell ref="A12:F12"/>
    <mergeCell ref="A15:F15"/>
    <mergeCell ref="B16:C16"/>
    <mergeCell ref="B17:C17"/>
    <mergeCell ref="B18:C18"/>
    <mergeCell ref="B19:C19"/>
    <mergeCell ref="A20:E20"/>
    <mergeCell ref="A1:F1"/>
    <mergeCell ref="A4:F4"/>
    <mergeCell ref="B5:C5"/>
    <mergeCell ref="B6:C6"/>
    <mergeCell ref="B7:C7"/>
    <mergeCell ref="A34:F34"/>
    <mergeCell ref="A22:F22"/>
    <mergeCell ref="A23:F23"/>
    <mergeCell ref="A26:F26"/>
    <mergeCell ref="B27:C27"/>
    <mergeCell ref="B28:C28"/>
    <mergeCell ref="B29:C29"/>
    <mergeCell ref="B30:C30"/>
    <mergeCell ref="A31:E31"/>
    <mergeCell ref="A32:E32"/>
    <mergeCell ref="A33:F33"/>
    <mergeCell ref="A48:F48"/>
    <mergeCell ref="A37:F37"/>
    <mergeCell ref="B38:C38"/>
    <mergeCell ref="B39:C39"/>
    <mergeCell ref="B40:C40"/>
    <mergeCell ref="B41:C41"/>
    <mergeCell ref="A42:E42"/>
    <mergeCell ref="A43:E43"/>
    <mergeCell ref="A44:F44"/>
    <mergeCell ref="A45:F45"/>
    <mergeCell ref="B61:C61"/>
    <mergeCell ref="B49:C49"/>
    <mergeCell ref="B50:C50"/>
    <mergeCell ref="B51:C51"/>
    <mergeCell ref="B52:C52"/>
    <mergeCell ref="A53:E53"/>
    <mergeCell ref="A54:E54"/>
    <mergeCell ref="A55:F55"/>
    <mergeCell ref="A56:F56"/>
    <mergeCell ref="A59:F59"/>
    <mergeCell ref="B60:C60"/>
    <mergeCell ref="B74:C74"/>
    <mergeCell ref="B62:C62"/>
    <mergeCell ref="B63:C63"/>
    <mergeCell ref="A64:E64"/>
    <mergeCell ref="A65:E65"/>
    <mergeCell ref="A66:F66"/>
    <mergeCell ref="A67:F67"/>
    <mergeCell ref="A70:F70"/>
    <mergeCell ref="B71:C71"/>
    <mergeCell ref="B72:C72"/>
    <mergeCell ref="B73:C73"/>
    <mergeCell ref="A75:E75"/>
    <mergeCell ref="A76:E76"/>
    <mergeCell ref="A77:F77"/>
    <mergeCell ref="A78:F78"/>
    <mergeCell ref="A81:F81"/>
    <mergeCell ref="B98:C98"/>
    <mergeCell ref="A93:F93"/>
    <mergeCell ref="A94:F94"/>
    <mergeCell ref="B82:C82"/>
    <mergeCell ref="B83:C83"/>
    <mergeCell ref="B84:C84"/>
    <mergeCell ref="B85:C85"/>
    <mergeCell ref="A97:F97"/>
    <mergeCell ref="A87:F87"/>
    <mergeCell ref="A86:E86"/>
    <mergeCell ref="A92:E92"/>
    <mergeCell ref="A91:E91"/>
    <mergeCell ref="B90:C90"/>
    <mergeCell ref="B89:C89"/>
    <mergeCell ref="B88:C8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4"/>
  <sheetViews>
    <sheetView workbookViewId="0">
      <selection activeCell="I1" sqref="I1"/>
    </sheetView>
  </sheetViews>
  <sheetFormatPr defaultRowHeight="15" x14ac:dyDescent="0.25"/>
  <cols>
    <col min="1" max="1" width="9.28515625" customWidth="1"/>
    <col min="2" max="2" width="11" customWidth="1"/>
    <col min="3" max="3" width="9.28515625" customWidth="1"/>
    <col min="5" max="5" width="18.28515625" customWidth="1"/>
    <col min="6" max="6" width="14.85546875" customWidth="1"/>
    <col min="7" max="7" width="17.42578125" customWidth="1"/>
    <col min="13" max="13" width="12.1406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374" t="s">
        <v>229</v>
      </c>
      <c r="G9" s="375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228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162</v>
      </c>
      <c r="C15" s="254"/>
      <c r="D15" s="254"/>
      <c r="E15" s="254"/>
      <c r="F15" s="261">
        <v>1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3126.59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162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14">
        <v>1</v>
      </c>
      <c r="B23" s="274" t="s">
        <v>30</v>
      </c>
      <c r="C23" s="274"/>
      <c r="D23" s="274"/>
      <c r="E23" s="274"/>
      <c r="F23" s="15" t="s">
        <v>31</v>
      </c>
      <c r="G23" s="16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x14ac:dyDescent="0.25">
      <c r="A25" s="9" t="s">
        <v>9</v>
      </c>
      <c r="B25" s="279" t="s">
        <v>222</v>
      </c>
      <c r="C25" s="279"/>
      <c r="D25" s="279"/>
      <c r="E25" s="279"/>
      <c r="F25" s="10">
        <v>0.3</v>
      </c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14" t="s">
        <v>38</v>
      </c>
      <c r="B31" s="274" t="s">
        <v>39</v>
      </c>
      <c r="C31" s="274"/>
      <c r="D31" s="274"/>
      <c r="E31" s="274"/>
      <c r="F31" s="15" t="s">
        <v>31</v>
      </c>
      <c r="G31" s="16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14" t="s">
        <v>52</v>
      </c>
      <c r="B42" s="274" t="s">
        <v>53</v>
      </c>
      <c r="C42" s="274"/>
      <c r="D42" s="274"/>
      <c r="E42" s="274"/>
      <c r="F42" s="15" t="s">
        <v>31</v>
      </c>
      <c r="G42" s="16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14" t="s">
        <v>68</v>
      </c>
      <c r="B56" s="274" t="s">
        <v>69</v>
      </c>
      <c r="C56" s="274"/>
      <c r="D56" s="274"/>
      <c r="E56" s="274"/>
      <c r="F56" s="15" t="s">
        <v>31</v>
      </c>
      <c r="G56" s="16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14" t="s">
        <v>74</v>
      </c>
      <c r="B63" s="274" t="s">
        <v>75</v>
      </c>
      <c r="C63" s="274"/>
      <c r="D63" s="274"/>
      <c r="E63" s="274"/>
      <c r="F63" s="15" t="s">
        <v>31</v>
      </c>
      <c r="G63" s="16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ht="27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51"/>
    </row>
    <row r="66" spans="1:8" ht="27" customHeight="1" x14ac:dyDescent="0.25">
      <c r="A66" s="28" t="s">
        <v>11</v>
      </c>
      <c r="B66" s="369" t="s">
        <v>78</v>
      </c>
      <c r="C66" s="369"/>
      <c r="D66" s="369"/>
      <c r="E66" s="369"/>
      <c r="F66" s="22">
        <f>1*0.4*0.08</f>
        <v>3.2000000000000001E-2</v>
      </c>
      <c r="G66" s="11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14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ht="27" customHeight="1" x14ac:dyDescent="0.25">
      <c r="A83" s="28" t="s">
        <v>7</v>
      </c>
      <c r="B83" s="365" t="s">
        <v>93</v>
      </c>
      <c r="C83" s="366"/>
      <c r="D83" s="366"/>
      <c r="E83" s="366"/>
      <c r="F83" s="367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22*22.57</f>
        <v>496.54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-99.308000000000007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570.43200000000002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14">
        <v>4</v>
      </c>
      <c r="B97" s="318" t="s">
        <v>106</v>
      </c>
      <c r="C97" s="300"/>
      <c r="D97" s="300"/>
      <c r="E97" s="300"/>
      <c r="F97" s="319"/>
      <c r="G97" s="16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570.43200000000002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14">
        <v>5</v>
      </c>
      <c r="B107" s="320" t="s">
        <v>113</v>
      </c>
      <c r="C107" s="321"/>
      <c r="D107" s="321"/>
      <c r="E107" s="322"/>
      <c r="F107" s="15" t="s">
        <v>31</v>
      </c>
      <c r="G107" s="16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>
        <v>0</v>
      </c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>
        <v>0</v>
      </c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>
        <v>0</v>
      </c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14">
        <v>6</v>
      </c>
      <c r="B114" s="274" t="s">
        <v>119</v>
      </c>
      <c r="C114" s="274"/>
      <c r="D114" s="274"/>
      <c r="E114" s="274"/>
      <c r="F114" s="40" t="s">
        <v>31</v>
      </c>
      <c r="G114" s="16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570.43200000000002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73"/>
    </row>
    <row r="125" spans="1:8" ht="27" customHeight="1" x14ac:dyDescent="0.25">
      <c r="A125" s="356" t="s">
        <v>132</v>
      </c>
      <c r="B125" s="292"/>
      <c r="C125" s="80">
        <v>130</v>
      </c>
      <c r="D125" s="81">
        <v>0.6</v>
      </c>
      <c r="E125" s="82">
        <f>C125*(D125+1)*$G$27/220</f>
        <v>0</v>
      </c>
      <c r="F125" s="82">
        <f>E125*(1+$F$79)</f>
        <v>0</v>
      </c>
      <c r="G125" s="83">
        <f>F125/(1-$F$118)</f>
        <v>0</v>
      </c>
      <c r="H125" s="73"/>
    </row>
    <row r="126" spans="1:8" ht="27" customHeight="1" x14ac:dyDescent="0.25">
      <c r="A126" s="357" t="s">
        <v>133</v>
      </c>
      <c r="B126" s="291"/>
      <c r="C126" s="80">
        <v>39</v>
      </c>
      <c r="D126" s="81">
        <v>1</v>
      </c>
      <c r="E126" s="82">
        <f>C126*(D126+1)/220*$G$27</f>
        <v>0</v>
      </c>
      <c r="F126" s="82">
        <f>E126*(1+$F$79)</f>
        <v>0</v>
      </c>
      <c r="G126" s="83">
        <f>F126/(1-$F$118)</f>
        <v>0</v>
      </c>
      <c r="H126" s="74"/>
    </row>
    <row r="127" spans="1:8" ht="15.75" thickBot="1" x14ac:dyDescent="0.3">
      <c r="A127" s="358" t="s">
        <v>134</v>
      </c>
      <c r="B127" s="359"/>
      <c r="C127" s="47">
        <v>50</v>
      </c>
      <c r="D127" s="48">
        <v>0.2</v>
      </c>
      <c r="E127" s="49">
        <f>C127/(52.5/60)*(G$27/220)*(1+D125)*(1+D127)</f>
        <v>0</v>
      </c>
      <c r="F127" s="49">
        <f>E127*(1+$F$79)</f>
        <v>0</v>
      </c>
      <c r="G127" s="50">
        <f>F127/(1-$F$118)</f>
        <v>0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13" ht="15.75" thickBot="1" x14ac:dyDescent="0.3">
      <c r="A129" s="230"/>
      <c r="B129" s="231"/>
      <c r="C129" s="231"/>
      <c r="D129" s="231"/>
      <c r="E129" s="231"/>
      <c r="F129" s="231"/>
      <c r="G129" s="232"/>
      <c r="H129" s="51"/>
    </row>
    <row r="130" spans="1:13" x14ac:dyDescent="0.25">
      <c r="A130" s="336" t="s">
        <v>163</v>
      </c>
      <c r="B130" s="337"/>
      <c r="C130" s="337"/>
      <c r="D130" s="337"/>
      <c r="E130" s="337"/>
      <c r="F130" s="337"/>
      <c r="G130" s="338"/>
      <c r="H130" s="51"/>
    </row>
    <row r="131" spans="1:13" ht="22.5" x14ac:dyDescent="0.25">
      <c r="A131" s="323" t="s">
        <v>164</v>
      </c>
      <c r="B131" s="324"/>
      <c r="C131" s="88" t="s">
        <v>165</v>
      </c>
      <c r="D131" s="88" t="s">
        <v>166</v>
      </c>
      <c r="E131" s="86" t="s">
        <v>129</v>
      </c>
      <c r="F131" s="86" t="s">
        <v>167</v>
      </c>
      <c r="G131" s="87" t="s">
        <v>131</v>
      </c>
      <c r="H131" s="73"/>
    </row>
    <row r="132" spans="1:13" x14ac:dyDescent="0.25">
      <c r="A132" s="379" t="s">
        <v>168</v>
      </c>
      <c r="B132" s="304"/>
      <c r="C132" s="44">
        <v>23</v>
      </c>
      <c r="D132" s="75">
        <v>112.5</v>
      </c>
      <c r="E132" s="76">
        <f>C132*D132</f>
        <v>2587.5</v>
      </c>
      <c r="F132" s="45">
        <f>E132</f>
        <v>2587.5</v>
      </c>
      <c r="G132" s="46">
        <f>F132/(1-$F$120)</f>
        <v>2587.5</v>
      </c>
      <c r="H132" s="73"/>
    </row>
    <row r="133" spans="1:13" ht="15.75" thickBot="1" x14ac:dyDescent="0.3">
      <c r="A133" s="380" t="s">
        <v>169</v>
      </c>
      <c r="B133" s="381"/>
      <c r="C133" s="47">
        <v>33</v>
      </c>
      <c r="D133" s="154">
        <v>390</v>
      </c>
      <c r="E133" s="154">
        <f>C133*D133</f>
        <v>12870</v>
      </c>
      <c r="F133" s="49">
        <f>E133</f>
        <v>12870</v>
      </c>
      <c r="G133" s="50">
        <f>F133/(1-$F$120)</f>
        <v>12870</v>
      </c>
      <c r="H133" s="51"/>
    </row>
    <row r="134" spans="1:13" ht="15.75" thickBot="1" x14ac:dyDescent="0.3">
      <c r="A134" s="360" t="s">
        <v>170</v>
      </c>
      <c r="B134" s="361"/>
      <c r="C134" s="361"/>
      <c r="D134" s="361"/>
      <c r="E134" s="361"/>
      <c r="F134" s="361"/>
      <c r="G134" s="148">
        <f>SUM(G132:G133)</f>
        <v>15457.5</v>
      </c>
      <c r="H134" s="51"/>
    </row>
    <row r="135" spans="1:13" ht="15.75" thickBot="1" x14ac:dyDescent="0.3">
      <c r="A135" s="347"/>
      <c r="B135" s="348"/>
      <c r="C135" s="348"/>
      <c r="D135" s="348"/>
      <c r="E135" s="348"/>
      <c r="F135" s="348"/>
      <c r="G135" s="349"/>
      <c r="H135" s="65"/>
    </row>
    <row r="136" spans="1:13" x14ac:dyDescent="0.25">
      <c r="A136" s="362" t="s">
        <v>136</v>
      </c>
      <c r="B136" s="363"/>
      <c r="C136" s="363"/>
      <c r="D136" s="363"/>
      <c r="E136" s="363"/>
      <c r="F136" s="363"/>
      <c r="G136" s="364"/>
      <c r="H136" s="51"/>
    </row>
    <row r="137" spans="1:13" ht="33.75" x14ac:dyDescent="0.25">
      <c r="A137" s="52" t="s">
        <v>137</v>
      </c>
      <c r="B137" s="339" t="s">
        <v>138</v>
      </c>
      <c r="C137" s="340"/>
      <c r="D137" s="341"/>
      <c r="E137" s="53" t="s">
        <v>139</v>
      </c>
      <c r="F137" s="53" t="s">
        <v>140</v>
      </c>
      <c r="G137" s="54" t="s">
        <v>141</v>
      </c>
      <c r="H137" s="70"/>
    </row>
    <row r="138" spans="1:13" ht="15.75" thickBot="1" x14ac:dyDescent="0.3">
      <c r="A138" s="149">
        <v>9</v>
      </c>
      <c r="B138" s="342" t="str">
        <f>B15</f>
        <v>Motorista Executivo I</v>
      </c>
      <c r="C138" s="343"/>
      <c r="D138" s="344"/>
      <c r="E138" s="150">
        <f>F15</f>
        <v>1</v>
      </c>
      <c r="F138" s="151">
        <f>G120</f>
        <v>570.43200000000002</v>
      </c>
      <c r="G138" s="152">
        <f>F138*E138</f>
        <v>570.43200000000002</v>
      </c>
      <c r="H138" s="70"/>
    </row>
    <row r="139" spans="1:13" ht="15.75" thickBot="1" x14ac:dyDescent="0.3">
      <c r="A139" s="345" t="s">
        <v>142</v>
      </c>
      <c r="B139" s="346"/>
      <c r="C139" s="346"/>
      <c r="D139" s="346"/>
      <c r="E139" s="346"/>
      <c r="F139" s="346"/>
      <c r="G139" s="153">
        <f>G138*12</f>
        <v>6845.1840000000002</v>
      </c>
      <c r="H139" s="1"/>
    </row>
    <row r="140" spans="1:13" ht="15.75" thickBot="1" x14ac:dyDescent="0.3">
      <c r="A140" s="347"/>
      <c r="B140" s="348"/>
      <c r="C140" s="348"/>
      <c r="D140" s="348"/>
      <c r="E140" s="348"/>
      <c r="F140" s="348"/>
      <c r="G140" s="349"/>
      <c r="H140" s="56"/>
    </row>
    <row r="141" spans="1:13" ht="15.75" thickBot="1" x14ac:dyDescent="0.3">
      <c r="A141" s="350" t="s">
        <v>143</v>
      </c>
      <c r="B141" s="351"/>
      <c r="C141" s="351"/>
      <c r="D141" s="351"/>
      <c r="E141" s="351"/>
      <c r="F141" s="352"/>
      <c r="G141" s="55">
        <f>(G128+G134+G139)</f>
        <v>22302.684000000001</v>
      </c>
      <c r="H141" s="56"/>
    </row>
    <row r="142" spans="1:13" ht="15.75" thickBot="1" x14ac:dyDescent="0.3">
      <c r="A142" s="353" t="s">
        <v>144</v>
      </c>
      <c r="B142" s="354"/>
      <c r="C142" s="354"/>
      <c r="D142" s="354"/>
      <c r="E142" s="354"/>
      <c r="F142" s="355"/>
      <c r="G142" s="71">
        <f>G141*5</f>
        <v>111513.42000000001</v>
      </c>
      <c r="H142" s="56"/>
      <c r="M142" s="125"/>
    </row>
    <row r="143" spans="1:13" x14ac:dyDescent="0.25">
      <c r="A143" s="64"/>
      <c r="B143" s="64"/>
      <c r="C143" s="64"/>
      <c r="D143" s="64"/>
      <c r="E143" s="64"/>
      <c r="F143" s="64"/>
      <c r="G143" s="58"/>
      <c r="H143" s="1"/>
    </row>
    <row r="144" spans="1:13" x14ac:dyDescent="0.25">
      <c r="A144" s="51" t="s">
        <v>145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9" t="s">
        <v>146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9" t="s">
        <v>147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9" t="s">
        <v>148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59" t="s">
        <v>149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59" t="s">
        <v>150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59" t="s">
        <v>151</v>
      </c>
      <c r="B150" s="1"/>
      <c r="C150" s="1"/>
      <c r="D150" s="1"/>
      <c r="E150" s="1"/>
      <c r="F150" s="1"/>
      <c r="G150" s="1"/>
      <c r="H150" s="1"/>
    </row>
    <row r="151" spans="1:8" x14ac:dyDescent="0.25">
      <c r="A151" s="51" t="s">
        <v>152</v>
      </c>
      <c r="B151" s="1"/>
      <c r="C151" s="1"/>
      <c r="D151" s="1"/>
      <c r="E151" s="1"/>
      <c r="F151" s="1"/>
      <c r="G151" s="1"/>
      <c r="H151" s="1"/>
    </row>
    <row r="152" spans="1:8" x14ac:dyDescent="0.25">
      <c r="A152" s="51" t="s">
        <v>153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51" t="s">
        <v>154</v>
      </c>
      <c r="B153" s="1"/>
      <c r="C153" s="1"/>
      <c r="D153" s="1"/>
      <c r="E153" s="1"/>
      <c r="F153" s="1"/>
      <c r="G153" s="1"/>
      <c r="H153" s="65"/>
    </row>
    <row r="154" spans="1:8" x14ac:dyDescent="0.25">
      <c r="A154" s="51" t="s">
        <v>155</v>
      </c>
      <c r="B154" s="1"/>
      <c r="C154" s="1"/>
      <c r="D154" s="1"/>
      <c r="E154" s="1"/>
      <c r="F154" s="1"/>
      <c r="G154" s="1"/>
    </row>
  </sheetData>
  <sheetProtection algorithmName="SHA-512" hashValue="GwM4vASuJxyIbljykaVUCcjo9n0SNJ2wNtn5T5uVTZikexrBgU0YfpQCDKw3lznLxt/gh5pNd/WmhZBmikx0mQ==" saltValue="hB/jr0m5eWTyJYghF/InOA==" spinCount="100000" sheet="1" objects="1" scenarios="1"/>
  <mergeCells count="159"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31:B131"/>
    <mergeCell ref="A125:B125"/>
    <mergeCell ref="A126:B126"/>
    <mergeCell ref="A127:B127"/>
    <mergeCell ref="A128:F128"/>
    <mergeCell ref="A129:G129"/>
    <mergeCell ref="A130:G130"/>
    <mergeCell ref="B138:D138"/>
    <mergeCell ref="A139:F139"/>
    <mergeCell ref="A140:G140"/>
    <mergeCell ref="A141:F141"/>
    <mergeCell ref="A142:F142"/>
    <mergeCell ref="A132:B132"/>
    <mergeCell ref="A133:B133"/>
    <mergeCell ref="A134:F134"/>
    <mergeCell ref="A135:G135"/>
    <mergeCell ref="A136:G136"/>
    <mergeCell ref="B137:D137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2">
        <v>2022</v>
      </c>
      <c r="G9" s="253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161</v>
      </c>
      <c r="C15" s="254"/>
      <c r="D15" s="254"/>
      <c r="E15" s="254"/>
      <c r="F15" s="261">
        <v>2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1309.1500000000001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161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ht="15" customHeight="1" x14ac:dyDescent="0.25">
      <c r="A25" s="9" t="s">
        <v>9</v>
      </c>
      <c r="B25" s="279" t="s">
        <v>34</v>
      </c>
      <c r="C25" s="279"/>
      <c r="D25" s="279"/>
      <c r="E25" s="279"/>
      <c r="F25" s="10"/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ht="27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x14ac:dyDescent="0.25">
      <c r="A83" s="17" t="s">
        <v>7</v>
      </c>
      <c r="B83" s="302" t="s">
        <v>93</v>
      </c>
      <c r="C83" s="303"/>
      <c r="D83" s="303"/>
      <c r="E83" s="303"/>
      <c r="F83" s="304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605.10400000000004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605.10400000000004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" customHeight="1" x14ac:dyDescent="0.25">
      <c r="A125" s="356" t="s">
        <v>132</v>
      </c>
      <c r="B125" s="292"/>
      <c r="C125" s="80">
        <v>540</v>
      </c>
      <c r="D125" s="81">
        <v>0.5</v>
      </c>
      <c r="E125" s="82">
        <f>C125*(D125+1)*$G$27/180</f>
        <v>0</v>
      </c>
      <c r="F125" s="82">
        <f>E125*(1+$F$79)</f>
        <v>0</v>
      </c>
      <c r="G125" s="83">
        <f>F125/(1-$F$118)</f>
        <v>0</v>
      </c>
      <c r="H125" s="1"/>
    </row>
    <row r="126" spans="1:8" ht="27" customHeight="1" x14ac:dyDescent="0.25">
      <c r="A126" s="357" t="s">
        <v>133</v>
      </c>
      <c r="B126" s="291"/>
      <c r="C126" s="80">
        <v>116</v>
      </c>
      <c r="D126" s="81">
        <v>1</v>
      </c>
      <c r="E126" s="82">
        <f>C126*(D126+1)/180*$G$27</f>
        <v>0</v>
      </c>
      <c r="F126" s="82">
        <f>E126*(1+$F$79)</f>
        <v>0</v>
      </c>
      <c r="G126" s="83">
        <f>F126/(1-$F$118)</f>
        <v>0</v>
      </c>
      <c r="H126" s="69"/>
    </row>
    <row r="127" spans="1:8" ht="15.75" thickBot="1" x14ac:dyDescent="0.3">
      <c r="A127" s="358" t="s">
        <v>134</v>
      </c>
      <c r="B127" s="359"/>
      <c r="C127" s="47">
        <v>116</v>
      </c>
      <c r="D127" s="48">
        <v>0.39</v>
      </c>
      <c r="E127" s="147">
        <f>C$127*($G$27/180)*(1+D$125)*(1+D$127)</f>
        <v>0</v>
      </c>
      <c r="F127" s="49">
        <f>E127*(1+$F$79)</f>
        <v>0</v>
      </c>
      <c r="G127" s="50">
        <f>F127/(1-$F$118)</f>
        <v>0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15.75" thickBot="1" x14ac:dyDescent="0.3">
      <c r="A132" s="149">
        <v>1</v>
      </c>
      <c r="B132" s="342" t="str">
        <f>B15</f>
        <v>Copeiro</v>
      </c>
      <c r="C132" s="343"/>
      <c r="D132" s="344"/>
      <c r="E132" s="150">
        <f>F15</f>
        <v>2</v>
      </c>
      <c r="F132" s="151">
        <f>G120</f>
        <v>605.10400000000004</v>
      </c>
      <c r="G132" s="152">
        <f>F132*E132</f>
        <v>1210.2080000000001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14522.496000000001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14522.496000000001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72612.48000000001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UWAWE+d67lHm5oXG0n6b0CuV3anI1kCAHJE3xUCY51c+mOEDh66aTax/qBe7i0ZD/1hgeqI7/c6a5iIcX11K1g==" saltValue="VU1H/NyDR7kA06xYLO9iRw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5" t="s">
        <v>229</v>
      </c>
      <c r="G9" s="256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23</v>
      </c>
      <c r="C15" s="254"/>
      <c r="D15" s="254"/>
      <c r="E15" s="254"/>
      <c r="F15" s="261">
        <v>5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1309.1500000000001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23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x14ac:dyDescent="0.25">
      <c r="A25" s="9" t="s">
        <v>9</v>
      </c>
      <c r="B25" s="279" t="s">
        <v>221</v>
      </c>
      <c r="C25" s="279"/>
      <c r="D25" s="279"/>
      <c r="E25" s="279"/>
      <c r="F25" s="10">
        <v>0.4</v>
      </c>
      <c r="G25" s="11">
        <f>F18*F25</f>
        <v>484.8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484.8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96.960000000000008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7.2720000000000002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4.8479999999999999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0.96960000000000002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12.120000000000001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38.783999999999999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2.9088000000000003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163.86240000000004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40.398384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40.383839999999999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13.466666666666667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9.4266666666666676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6.7333333333333334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0.10099999999999999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1.3466666666666667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1.6159999999999999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113.47255733333333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38.353724378666676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151.826281712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3.2319999999999998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0.35907520000000004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3.5910751999999997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1.2137834176000002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4.8048586175999999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2.02</v>
      </c>
      <c r="H64" s="51"/>
    </row>
    <row r="65" spans="1:8" ht="27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0.80800000000000005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15.5136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3.8784000000000001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22.22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0.16159999999999999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0.12928000000000001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22.51088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163.86240000000004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151.826281712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4.8048586175999999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22.51088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343.00442032960007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ht="27" customHeight="1" x14ac:dyDescent="0.25">
      <c r="A83" s="28" t="s">
        <v>7</v>
      </c>
      <c r="B83" s="365" t="s">
        <v>93</v>
      </c>
      <c r="C83" s="366"/>
      <c r="D83" s="366"/>
      <c r="E83" s="366"/>
      <c r="F83" s="367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1432.9084203296002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1432.9084203296002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" customHeight="1" x14ac:dyDescent="0.25">
      <c r="A125" s="368" t="s">
        <v>132</v>
      </c>
      <c r="B125" s="275"/>
      <c r="C125" s="44">
        <v>260</v>
      </c>
      <c r="D125" s="10">
        <v>0.5</v>
      </c>
      <c r="E125" s="45">
        <f>C125*(D125+1)*$G$27/180</f>
        <v>1050.4000000000001</v>
      </c>
      <c r="F125" s="45">
        <f>E125*(1+$F$79)</f>
        <v>1793.5762440474668</v>
      </c>
      <c r="G125" s="46">
        <f>F125/(1-$F$118)</f>
        <v>1793.5762440474668</v>
      </c>
      <c r="H125" s="1"/>
    </row>
    <row r="126" spans="1:8" ht="27.75" customHeight="1" x14ac:dyDescent="0.25">
      <c r="A126" s="357" t="s">
        <v>133</v>
      </c>
      <c r="B126" s="291"/>
      <c r="C126" s="80">
        <v>30</v>
      </c>
      <c r="D126" s="81">
        <v>1</v>
      </c>
      <c r="E126" s="82">
        <f>C126*(D126+1)/180*$G$27</f>
        <v>161.6</v>
      </c>
      <c r="F126" s="82">
        <f>E126*(1+$F$79)</f>
        <v>275.93480677653332</v>
      </c>
      <c r="G126" s="83">
        <f>F126/(1-$F$118)</f>
        <v>275.93480677653332</v>
      </c>
      <c r="H126" s="69"/>
    </row>
    <row r="127" spans="1:8" ht="15.75" thickBot="1" x14ac:dyDescent="0.3">
      <c r="A127" s="358" t="s">
        <v>134</v>
      </c>
      <c r="B127" s="359"/>
      <c r="C127" s="47">
        <v>40</v>
      </c>
      <c r="D127" s="48">
        <v>0.39</v>
      </c>
      <c r="E127" s="147">
        <f>C$127*($G$27/180)*(1+D$125)*(1+D$127)</f>
        <v>224.62400000000002</v>
      </c>
      <c r="F127" s="49">
        <f>E127*(1+$F$79)</f>
        <v>383.5493814193814</v>
      </c>
      <c r="G127" s="50">
        <f>F127/(1-$F$118)</f>
        <v>383.5493814193814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2453.0604322433815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15.75" thickBot="1" x14ac:dyDescent="0.3">
      <c r="A132" s="149">
        <v>2</v>
      </c>
      <c r="B132" s="342" t="str">
        <f>B15</f>
        <v>Servente de Limpeza</v>
      </c>
      <c r="C132" s="343"/>
      <c r="D132" s="344"/>
      <c r="E132" s="150">
        <f>F15</f>
        <v>5</v>
      </c>
      <c r="F132" s="151">
        <f>G120</f>
        <v>1432.9084203296002</v>
      </c>
      <c r="G132" s="152">
        <f>F132*E132</f>
        <v>7164.5421016480013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85974.505219776009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88427.565652019388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442137.82826009695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SPs53VbPVMh7L0chED6Mxb9fglwvZ+Px6QqG0mAXjSj+CbNSa2iungtPAshRXJ42EDKfoLVXqbMQkDCxaSgXoA==" saltValue="/s1XHcVmAzgHbbJ+tIg4Aw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5" t="s">
        <v>229</v>
      </c>
      <c r="G9" s="256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156</v>
      </c>
      <c r="C15" s="254"/>
      <c r="D15" s="254"/>
      <c r="E15" s="254"/>
      <c r="F15" s="261">
        <v>1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1309.1500000000001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156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x14ac:dyDescent="0.25">
      <c r="A25" s="9" t="s">
        <v>9</v>
      </c>
      <c r="B25" s="279" t="s">
        <v>221</v>
      </c>
      <c r="C25" s="279"/>
      <c r="D25" s="279"/>
      <c r="E25" s="279"/>
      <c r="F25" s="10">
        <v>0.2</v>
      </c>
      <c r="G25" s="11">
        <f>F18*F25</f>
        <v>242.4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242.4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48.480000000000004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3.6360000000000001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2.4239999999999999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0.48480000000000001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6.0600000000000005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19.391999999999999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1.4544000000000001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81.931200000000018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20.199192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20.19192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6.7333333333333334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4.7133333333333338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3.3666666666666667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5.0499999999999996E-2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0.67333333333333334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0.80799999999999994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56.736278666666664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19.176862189333338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75.913140855999998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1.6159999999999999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0.17953760000000002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1.7955375999999998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0.6068917088000001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2.4024293087999999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1.01</v>
      </c>
      <c r="H64" s="51"/>
    </row>
    <row r="65" spans="1:8" ht="27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0.40400000000000003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7.7568000000000001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1.9392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11.11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8.0799999999999997E-2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6.4640000000000003E-2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11.25544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81.931200000000018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75.913140855999998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2.4024293087999999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11.25544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171.50221016480003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.75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ht="27" customHeight="1" x14ac:dyDescent="0.25">
      <c r="A83" s="28" t="s">
        <v>7</v>
      </c>
      <c r="B83" s="365" t="s">
        <v>93</v>
      </c>
      <c r="C83" s="366"/>
      <c r="D83" s="366"/>
      <c r="E83" s="366"/>
      <c r="F83" s="367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225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1019.0062101648001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1019.0062101648001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" customHeight="1" x14ac:dyDescent="0.25">
      <c r="A125" s="368" t="s">
        <v>132</v>
      </c>
      <c r="B125" s="275"/>
      <c r="C125" s="44">
        <v>52</v>
      </c>
      <c r="D125" s="10">
        <v>0.5</v>
      </c>
      <c r="E125" s="45">
        <f>C125*(D125+1)*$G$27/180</f>
        <v>105.04</v>
      </c>
      <c r="F125" s="45">
        <f>E125*(1+$F$79)</f>
        <v>179.35762440474667</v>
      </c>
      <c r="G125" s="46">
        <f>F125/(1-$F$118)</f>
        <v>179.35762440474667</v>
      </c>
      <c r="H125" s="1"/>
    </row>
    <row r="126" spans="1:8" ht="27" customHeight="1" x14ac:dyDescent="0.25">
      <c r="A126" s="357" t="s">
        <v>133</v>
      </c>
      <c r="B126" s="291"/>
      <c r="C126" s="80">
        <v>6</v>
      </c>
      <c r="D126" s="81">
        <v>1</v>
      </c>
      <c r="E126" s="82">
        <f>C126*(D126+1)/180*$G$27</f>
        <v>16.16</v>
      </c>
      <c r="F126" s="82">
        <f>E126*(1+$F$79)</f>
        <v>27.593480677653336</v>
      </c>
      <c r="G126" s="83">
        <f>F126/(1-$F$118)</f>
        <v>27.593480677653336</v>
      </c>
      <c r="H126" s="69"/>
    </row>
    <row r="127" spans="1:8" ht="15.75" thickBot="1" x14ac:dyDescent="0.3">
      <c r="A127" s="358" t="s">
        <v>134</v>
      </c>
      <c r="B127" s="359"/>
      <c r="C127" s="47">
        <v>4</v>
      </c>
      <c r="D127" s="48">
        <v>0.39</v>
      </c>
      <c r="E127" s="147">
        <f>C$127*($G$27/180)*(1+D$125)*(1+D$127)</f>
        <v>11.231200000000001</v>
      </c>
      <c r="F127" s="49">
        <f>E127*(1+$F$79)</f>
        <v>19.177469070969067</v>
      </c>
      <c r="G127" s="50">
        <f>F127/(1-$F$118)</f>
        <v>19.177469070969067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226.12857415336907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15.75" thickBot="1" x14ac:dyDescent="0.3">
      <c r="A132" s="149">
        <v>3</v>
      </c>
      <c r="B132" s="342" t="str">
        <f>B15</f>
        <v>Servente de Limpeza - Museu Histórico</v>
      </c>
      <c r="C132" s="343"/>
      <c r="D132" s="344"/>
      <c r="E132" s="150">
        <f>F15</f>
        <v>1</v>
      </c>
      <c r="F132" s="151">
        <f>G120</f>
        <v>1019.0062101648001</v>
      </c>
      <c r="G132" s="152">
        <f>F132*E132</f>
        <v>1019.0062101648001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12228.074521977602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12454.20309613097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62271.015480654853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HM/QOR2tWTun6mNk635hp/TY8pI77KhPA0LxSiilQ1YbRm7T1JZChODtuEDj1km6Mw2u6AhgvqQ5jrKx7+C8QA==" saltValue="gCIcgxI0MlARAgnC07gDEQ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2">
        <v>2022</v>
      </c>
      <c r="G9" s="253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157</v>
      </c>
      <c r="C15" s="254"/>
      <c r="D15" s="254"/>
      <c r="E15" s="254"/>
      <c r="F15" s="261">
        <v>1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1858.15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157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ht="15" customHeight="1" x14ac:dyDescent="0.25">
      <c r="A25" s="9" t="s">
        <v>9</v>
      </c>
      <c r="B25" s="279" t="s">
        <v>222</v>
      </c>
      <c r="C25" s="279"/>
      <c r="D25" s="279"/>
      <c r="E25" s="279"/>
      <c r="F25" s="10">
        <v>0.3</v>
      </c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ht="26.25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84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ht="27.75" customHeight="1" x14ac:dyDescent="0.25">
      <c r="A83" s="28" t="s">
        <v>7</v>
      </c>
      <c r="B83" s="365" t="s">
        <v>93</v>
      </c>
      <c r="C83" s="366"/>
      <c r="D83" s="366"/>
      <c r="E83" s="366"/>
      <c r="F83" s="367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20" t="s">
        <v>106</v>
      </c>
      <c r="C97" s="321"/>
      <c r="D97" s="321"/>
      <c r="E97" s="321"/>
      <c r="F97" s="322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605.10400000000004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605.10400000000004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" customHeight="1" x14ac:dyDescent="0.25">
      <c r="A125" s="368" t="s">
        <v>132</v>
      </c>
      <c r="B125" s="275"/>
      <c r="C125" s="44">
        <v>44</v>
      </c>
      <c r="D125" s="10">
        <v>0.5</v>
      </c>
      <c r="E125" s="45">
        <f>C125*(D125+1)*$G$27/180</f>
        <v>0</v>
      </c>
      <c r="F125" s="45">
        <f>E125*(1+$F$79)</f>
        <v>0</v>
      </c>
      <c r="G125" s="46">
        <f>F125/(1-$F$118)</f>
        <v>0</v>
      </c>
      <c r="H125" s="1"/>
    </row>
    <row r="126" spans="1:8" ht="27" customHeight="1" x14ac:dyDescent="0.25">
      <c r="A126" s="357" t="s">
        <v>133</v>
      </c>
      <c r="B126" s="291"/>
      <c r="C126" s="80">
        <v>6</v>
      </c>
      <c r="D126" s="81">
        <v>1</v>
      </c>
      <c r="E126" s="82">
        <f>C126*(D126+1)/180*$G$27</f>
        <v>0</v>
      </c>
      <c r="F126" s="82">
        <f>E126*(1+$F$79)</f>
        <v>0</v>
      </c>
      <c r="G126" s="83">
        <f>F126/(1-$F$118)</f>
        <v>0</v>
      </c>
      <c r="H126" s="69"/>
    </row>
    <row r="127" spans="1:8" ht="15.75" thickBot="1" x14ac:dyDescent="0.3">
      <c r="A127" s="358" t="s">
        <v>134</v>
      </c>
      <c r="B127" s="359"/>
      <c r="C127" s="47">
        <v>4</v>
      </c>
      <c r="D127" s="48">
        <v>0.39</v>
      </c>
      <c r="E127" s="147">
        <f>C$127*($G$27/180)*(1+D$125)*(1+D$127)</f>
        <v>0</v>
      </c>
      <c r="F127" s="49">
        <f>E127*(1+$F$79)</f>
        <v>0</v>
      </c>
      <c r="G127" s="50">
        <f>F127/(1-$F$118)</f>
        <v>0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15.75" thickBot="1" x14ac:dyDescent="0.3">
      <c r="A132" s="149">
        <v>4</v>
      </c>
      <c r="B132" s="342" t="str">
        <f>B15</f>
        <v>Auxiliar de Manutenção Predial</v>
      </c>
      <c r="C132" s="343"/>
      <c r="D132" s="344"/>
      <c r="E132" s="150">
        <f>F15</f>
        <v>1</v>
      </c>
      <c r="F132" s="151">
        <f>G120</f>
        <v>605.10400000000004</v>
      </c>
      <c r="G132" s="152">
        <f>F132*E132</f>
        <v>605.10400000000004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7261.2480000000005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7261.2480000000005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36306.240000000005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0wwh9X1WBaY9++WbfuUlRsKnNVEhmnUI1hwsSVSGcNV6FejSQofBf1S9ZEy7Eb+NbxzqhXfFtS7pGas1o3T8Vg==" saltValue="vH+suA/aDb0oDSb+iysH/Q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2">
        <v>2022</v>
      </c>
      <c r="G9" s="253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158</v>
      </c>
      <c r="C15" s="254"/>
      <c r="D15" s="254"/>
      <c r="E15" s="254"/>
      <c r="F15" s="261">
        <v>9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2135.6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158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51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60"/>
    </row>
    <row r="25" spans="1:8" ht="15" customHeight="1" x14ac:dyDescent="0.25">
      <c r="A25" s="9" t="s">
        <v>9</v>
      </c>
      <c r="B25" s="279" t="s">
        <v>34</v>
      </c>
      <c r="C25" s="279"/>
      <c r="D25" s="279"/>
      <c r="E25" s="279"/>
      <c r="F25" s="10"/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5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6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51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62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51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60"/>
    </row>
    <row r="41" spans="1:8" x14ac:dyDescent="0.25">
      <c r="A41" s="271"/>
      <c r="B41" s="272"/>
      <c r="C41" s="272"/>
      <c r="D41" s="272"/>
      <c r="E41" s="272"/>
      <c r="F41" s="272"/>
      <c r="G41" s="273"/>
      <c r="H41" s="59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63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1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9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51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60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1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9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51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293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62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x14ac:dyDescent="0.25">
      <c r="A69" s="17" t="s">
        <v>15</v>
      </c>
      <c r="B69" s="275" t="s">
        <v>80</v>
      </c>
      <c r="C69" s="275"/>
      <c r="D69" s="275"/>
      <c r="E69" s="275"/>
      <c r="F69" s="26">
        <f>F37*F64</f>
        <v>3.3333333333333332E-4</v>
      </c>
      <c r="G69" s="11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51"/>
    </row>
    <row r="81" spans="1:8" x14ac:dyDescent="0.25">
      <c r="A81" s="246" t="s">
        <v>91</v>
      </c>
      <c r="B81" s="247"/>
      <c r="C81" s="247"/>
      <c r="D81" s="247"/>
      <c r="E81" s="247"/>
      <c r="F81" s="247"/>
      <c r="G81" s="248"/>
      <c r="H81" s="65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51"/>
    </row>
    <row r="83" spans="1:8" x14ac:dyDescent="0.25">
      <c r="A83" s="17" t="s">
        <v>7</v>
      </c>
      <c r="B83" s="302" t="s">
        <v>93</v>
      </c>
      <c r="C83" s="303"/>
      <c r="D83" s="303"/>
      <c r="E83" s="303"/>
      <c r="F83" s="304"/>
      <c r="G83" s="141">
        <f>2*3*22</f>
        <v>132</v>
      </c>
      <c r="H83" s="65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66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51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-107.976</v>
      </c>
      <c r="H86" s="66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51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60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51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67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5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605.10400000000004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51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66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51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68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605.10400000000004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1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65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x14ac:dyDescent="0.25">
      <c r="A125" s="368" t="s">
        <v>132</v>
      </c>
      <c r="B125" s="275"/>
      <c r="C125" s="44">
        <v>832</v>
      </c>
      <c r="D125" s="10">
        <v>0.5</v>
      </c>
      <c r="E125" s="45">
        <f>C125*(D125+1)*$G$27/180</f>
        <v>0</v>
      </c>
      <c r="F125" s="45">
        <f>E125*(1+$F$79)</f>
        <v>0</v>
      </c>
      <c r="G125" s="46">
        <f>F125/(1-$F$118)</f>
        <v>0</v>
      </c>
      <c r="H125" s="1"/>
    </row>
    <row r="126" spans="1:8" ht="27" customHeight="1" x14ac:dyDescent="0.25">
      <c r="A126" s="357" t="s">
        <v>133</v>
      </c>
      <c r="B126" s="291"/>
      <c r="C126" s="44">
        <v>144</v>
      </c>
      <c r="D126" s="10">
        <v>1</v>
      </c>
      <c r="E126" s="45">
        <f>C126*(D126+1)/180*$G$27</f>
        <v>0</v>
      </c>
      <c r="F126" s="45">
        <f>E126*(1+$F$79)</f>
        <v>0</v>
      </c>
      <c r="G126" s="46">
        <f>F126/(1-$F$118)</f>
        <v>0</v>
      </c>
      <c r="H126" s="1"/>
    </row>
    <row r="127" spans="1:8" ht="15.75" thickBot="1" x14ac:dyDescent="0.3">
      <c r="A127" s="358" t="s">
        <v>134</v>
      </c>
      <c r="B127" s="359"/>
      <c r="C127" s="47">
        <v>192</v>
      </c>
      <c r="D127" s="48">
        <v>0.39</v>
      </c>
      <c r="E127" s="147">
        <f>C$127*($G$27/180)*(1+D$125)*(1+D$127)</f>
        <v>0</v>
      </c>
      <c r="F127" s="49">
        <f>E127*(1+$F$79)</f>
        <v>0</v>
      </c>
      <c r="G127" s="50">
        <f>F127/(1-$F$118)</f>
        <v>0</v>
      </c>
      <c r="H127" s="69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51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65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51"/>
    </row>
    <row r="132" spans="1:8" ht="15.75" thickBot="1" x14ac:dyDescent="0.3">
      <c r="A132" s="149">
        <v>5</v>
      </c>
      <c r="B132" s="342" t="str">
        <f>B15</f>
        <v>Recepcionista</v>
      </c>
      <c r="C132" s="343"/>
      <c r="D132" s="344"/>
      <c r="E132" s="150">
        <f>F15</f>
        <v>9</v>
      </c>
      <c r="F132" s="151">
        <f>G120</f>
        <v>605.10400000000004</v>
      </c>
      <c r="G132" s="152">
        <f>F132*E132</f>
        <v>5445.9360000000006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65351.232000000004</v>
      </c>
      <c r="H133" s="70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1"/>
    </row>
    <row r="135" spans="1:8" ht="15.75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65351.232000000004</v>
      </c>
      <c r="H135" s="56"/>
    </row>
    <row r="136" spans="1:8" ht="27.75" customHeight="1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326756.16000000003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56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  <c r="H148" s="65"/>
    </row>
  </sheetData>
  <sheetProtection algorithmName="SHA-512" hashValue="ZRnS0tF5n6W1eO4nC8RdT6jch5zgrl16nEhfV2zzyTCmEEz/L3idcNCCiOI7E9nH21LSOKtTYl+/ycEzyR0H3Q==" saltValue="Pqt9Rq1SMOT6zBtLGMh8aw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8:H59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2">
        <v>2022</v>
      </c>
      <c r="G9" s="253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159</v>
      </c>
      <c r="C15" s="254"/>
      <c r="D15" s="254"/>
      <c r="E15" s="254"/>
      <c r="F15" s="261">
        <v>4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1830.32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159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x14ac:dyDescent="0.25">
      <c r="A25" s="9" t="s">
        <v>9</v>
      </c>
      <c r="B25" s="279" t="s">
        <v>34</v>
      </c>
      <c r="C25" s="279"/>
      <c r="D25" s="279"/>
      <c r="E25" s="279"/>
      <c r="F25" s="10"/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51"/>
    </row>
    <row r="66" spans="1:8" ht="27" customHeight="1" x14ac:dyDescent="0.25">
      <c r="A66" s="28" t="s">
        <v>11</v>
      </c>
      <c r="B66" s="369" t="s">
        <v>78</v>
      </c>
      <c r="C66" s="369"/>
      <c r="D66" s="369"/>
      <c r="E66" s="369"/>
      <c r="F66" s="22">
        <f>1*0.4*0.08</f>
        <v>3.2000000000000001E-2</v>
      </c>
      <c r="G66" s="11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ht="27" customHeight="1" x14ac:dyDescent="0.25">
      <c r="A69" s="17" t="s">
        <v>15</v>
      </c>
      <c r="B69" s="275" t="s">
        <v>80</v>
      </c>
      <c r="C69" s="275"/>
      <c r="D69" s="275"/>
      <c r="E69" s="275"/>
      <c r="F69" s="26">
        <f>F37*F64</f>
        <v>3.3333333333333332E-4</v>
      </c>
      <c r="G69" s="11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x14ac:dyDescent="0.25">
      <c r="A83" s="17" t="s">
        <v>7</v>
      </c>
      <c r="B83" s="302" t="s">
        <v>93</v>
      </c>
      <c r="C83" s="303"/>
      <c r="D83" s="303"/>
      <c r="E83" s="303"/>
      <c r="F83" s="304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225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605.10400000000004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605.10400000000004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.75" customHeight="1" x14ac:dyDescent="0.25">
      <c r="A125" s="368" t="s">
        <v>132</v>
      </c>
      <c r="B125" s="275"/>
      <c r="C125" s="44">
        <v>360</v>
      </c>
      <c r="D125" s="10">
        <v>0.5</v>
      </c>
      <c r="E125" s="45">
        <f>C125*(D125+1)*$G$27/180</f>
        <v>0</v>
      </c>
      <c r="F125" s="45">
        <f>E125*(1+$F$79)</f>
        <v>0</v>
      </c>
      <c r="G125" s="46">
        <f>F125/(1-$F$118)</f>
        <v>0</v>
      </c>
      <c r="H125" s="1"/>
    </row>
    <row r="126" spans="1:8" ht="27" customHeight="1" x14ac:dyDescent="0.25">
      <c r="A126" s="357" t="s">
        <v>133</v>
      </c>
      <c r="B126" s="291"/>
      <c r="C126" s="80">
        <v>77</v>
      </c>
      <c r="D126" s="81">
        <v>1</v>
      </c>
      <c r="E126" s="82">
        <f>C126*(D126+1)/180*$G$27</f>
        <v>0</v>
      </c>
      <c r="F126" s="82">
        <f>E126*(1+$F$79)</f>
        <v>0</v>
      </c>
      <c r="G126" s="83">
        <f>F126/(1-$F$118)</f>
        <v>0</v>
      </c>
      <c r="H126" s="69"/>
    </row>
    <row r="127" spans="1:8" ht="15.75" thickBot="1" x14ac:dyDescent="0.3">
      <c r="A127" s="358" t="s">
        <v>134</v>
      </c>
      <c r="B127" s="359"/>
      <c r="C127" s="47">
        <v>77</v>
      </c>
      <c r="D127" s="48">
        <v>0.39</v>
      </c>
      <c r="E127" s="147">
        <f>C$127*($G$27/180)*(1+D$125)*(1+D$127)</f>
        <v>0</v>
      </c>
      <c r="F127" s="49">
        <f>E127*(1+$F$79)</f>
        <v>0</v>
      </c>
      <c r="G127" s="50">
        <f>F127/(1-$F$118)</f>
        <v>0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15.75" thickBot="1" x14ac:dyDescent="0.3">
      <c r="A132" s="149">
        <v>6</v>
      </c>
      <c r="B132" s="342" t="str">
        <f>B15</f>
        <v>Assistente Administrativo I</v>
      </c>
      <c r="C132" s="343"/>
      <c r="D132" s="344"/>
      <c r="E132" s="150">
        <f>F15</f>
        <v>4</v>
      </c>
      <c r="F132" s="151">
        <f>G120</f>
        <v>605.10400000000004</v>
      </c>
      <c r="G132" s="152">
        <f>F132*E132</f>
        <v>2420.4160000000002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29044.992000000002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29044.992000000002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145224.96000000002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Frzw2sz6j2y9M7GYCLrCoYD0eKeZoyIks/CSbFmnr0+G9T66BY/rndPwGbK4VYjk4XYia52x+DL4goehMqfH4Q==" saltValue="2K99SBznWJFPPIv3/i3L5g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8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bestFit="1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3" t="s">
        <v>11</v>
      </c>
      <c r="B9" s="249" t="s">
        <v>12</v>
      </c>
      <c r="C9" s="250"/>
      <c r="D9" s="250"/>
      <c r="E9" s="251"/>
      <c r="F9" s="252">
        <v>2022</v>
      </c>
      <c r="G9" s="253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230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160</v>
      </c>
      <c r="C15" s="254"/>
      <c r="D15" s="254"/>
      <c r="E15" s="254"/>
      <c r="F15" s="261">
        <v>1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1830.32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ht="27" customHeight="1" x14ac:dyDescent="0.25">
      <c r="A19" s="85" t="s">
        <v>11</v>
      </c>
      <c r="B19" s="370" t="s">
        <v>26</v>
      </c>
      <c r="C19" s="370"/>
      <c r="D19" s="370"/>
      <c r="E19" s="370"/>
      <c r="F19" s="255" t="s">
        <v>160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ht="15" customHeight="1" x14ac:dyDescent="0.25">
      <c r="A25" s="9" t="s">
        <v>9</v>
      </c>
      <c r="B25" s="279" t="s">
        <v>221</v>
      </c>
      <c r="C25" s="279"/>
      <c r="D25" s="279"/>
      <c r="E25" s="279"/>
      <c r="F25" s="10">
        <v>0.2</v>
      </c>
      <c r="G25" s="11">
        <f>F18*F25</f>
        <v>242.4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242.4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48.480000000000004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3.6360000000000001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2.4239999999999999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0.48480000000000001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6.0600000000000005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19.391999999999999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1.4544000000000001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81.931200000000018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20.199192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20.19192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6.7333333333333334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4.7133333333333338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3.3666666666666667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5.0499999999999996E-2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0.67333333333333334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0.80799999999999994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56.736278666666664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19.176862189333338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75.913140855999998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1.6159999999999999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0.17953760000000002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1.7955375999999998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0.6068917088000001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2.4024293087999999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1.01</v>
      </c>
      <c r="H64" s="51"/>
    </row>
    <row r="65" spans="1:8" ht="27" customHeight="1" x14ac:dyDescent="0.25">
      <c r="A65" s="28" t="s">
        <v>9</v>
      </c>
      <c r="B65" s="292" t="s">
        <v>77</v>
      </c>
      <c r="C65" s="292"/>
      <c r="D65" s="292"/>
      <c r="E65" s="292"/>
      <c r="F65" s="79">
        <f>0.02*1/12</f>
        <v>1.6666666666666668E-3</v>
      </c>
      <c r="G65" s="30">
        <f>($G$27)*F65</f>
        <v>0.40400000000000003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7.7568000000000001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1.9392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11.11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8.0799999999999997E-2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6.4640000000000003E-2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11.25544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81.931200000000018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75.913140855999998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2.4024293087999999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11.25544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171.50221016480003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x14ac:dyDescent="0.25">
      <c r="A83" s="17" t="s">
        <v>7</v>
      </c>
      <c r="B83" s="302" t="s">
        <v>93</v>
      </c>
      <c r="C83" s="303"/>
      <c r="D83" s="303"/>
      <c r="E83" s="303"/>
      <c r="F83" s="304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223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24.54*22</f>
        <v>539.88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-107.976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605.10400000000004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1019.0062101648001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1019.0062101648001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  <c r="H124" s="1"/>
    </row>
    <row r="125" spans="1:8" ht="27" customHeight="1" x14ac:dyDescent="0.25">
      <c r="A125" s="356" t="s">
        <v>132</v>
      </c>
      <c r="B125" s="292"/>
      <c r="C125" s="80">
        <v>90</v>
      </c>
      <c r="D125" s="81">
        <v>0.5</v>
      </c>
      <c r="E125" s="82">
        <f>C125*(D125+1)*$G$27/180</f>
        <v>181.8</v>
      </c>
      <c r="F125" s="82">
        <f>E125*(1+$F$79)</f>
        <v>310.42665762360002</v>
      </c>
      <c r="G125" s="83">
        <f>F125/(1-$F$118)</f>
        <v>310.42665762360002</v>
      </c>
      <c r="H125" s="1"/>
    </row>
    <row r="126" spans="1:8" ht="27" customHeight="1" x14ac:dyDescent="0.25">
      <c r="A126" s="357" t="s">
        <v>133</v>
      </c>
      <c r="B126" s="291"/>
      <c r="C126" s="80">
        <v>19</v>
      </c>
      <c r="D126" s="81">
        <v>1</v>
      </c>
      <c r="E126" s="82">
        <f>C126*(D126+1)/180*$G$27</f>
        <v>51.173333333333332</v>
      </c>
      <c r="F126" s="82">
        <f>E126*(1+$F$79)</f>
        <v>87.379355479235556</v>
      </c>
      <c r="G126" s="83">
        <f>F126/(1-$F$118)</f>
        <v>87.379355479235556</v>
      </c>
      <c r="H126" s="69"/>
    </row>
    <row r="127" spans="1:8" ht="15.75" thickBot="1" x14ac:dyDescent="0.3">
      <c r="A127" s="358" t="s">
        <v>134</v>
      </c>
      <c r="B127" s="359"/>
      <c r="C127" s="47">
        <v>19</v>
      </c>
      <c r="D127" s="48">
        <v>0.39</v>
      </c>
      <c r="E127" s="147">
        <f>C$127*($G$27/180)*(1+D$125)*(1+D$127)</f>
        <v>53.348199999999999</v>
      </c>
      <c r="F127" s="49">
        <f>E127*(1+$F$79)</f>
        <v>91.092978087103063</v>
      </c>
      <c r="G127" s="50">
        <f>F127/(1-$F$118)</f>
        <v>91.092978087103063</v>
      </c>
      <c r="H127" s="51"/>
    </row>
    <row r="128" spans="1:8" ht="15.75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488.89899118993861</v>
      </c>
      <c r="H128" s="51"/>
    </row>
    <row r="129" spans="1:8" ht="15.75" thickBot="1" x14ac:dyDescent="0.3">
      <c r="A129" s="347"/>
      <c r="B129" s="348"/>
      <c r="C129" s="348"/>
      <c r="D129" s="348"/>
      <c r="E129" s="348"/>
      <c r="F129" s="348"/>
      <c r="G129" s="349"/>
      <c r="H129" s="65"/>
    </row>
    <row r="130" spans="1:8" x14ac:dyDescent="0.25">
      <c r="A130" s="362" t="s">
        <v>136</v>
      </c>
      <c r="B130" s="363"/>
      <c r="C130" s="363"/>
      <c r="D130" s="363"/>
      <c r="E130" s="363"/>
      <c r="F130" s="363"/>
      <c r="G130" s="364"/>
      <c r="H130" s="51"/>
    </row>
    <row r="131" spans="1:8" ht="33.75" x14ac:dyDescent="0.25">
      <c r="A131" s="52" t="s">
        <v>137</v>
      </c>
      <c r="B131" s="339" t="s">
        <v>138</v>
      </c>
      <c r="C131" s="340"/>
      <c r="D131" s="341"/>
      <c r="E131" s="53" t="s">
        <v>139</v>
      </c>
      <c r="F131" s="53" t="s">
        <v>140</v>
      </c>
      <c r="G131" s="54" t="s">
        <v>141</v>
      </c>
      <c r="H131" s="70"/>
    </row>
    <row r="132" spans="1:8" ht="27" customHeight="1" thickBot="1" x14ac:dyDescent="0.3">
      <c r="A132" s="149">
        <v>7</v>
      </c>
      <c r="B132" s="371" t="str">
        <f>B15</f>
        <v>Assistente Administrativo - Museu Histórico</v>
      </c>
      <c r="C132" s="372"/>
      <c r="D132" s="373"/>
      <c r="E132" s="150">
        <f>F15</f>
        <v>1</v>
      </c>
      <c r="F132" s="151">
        <f>G120</f>
        <v>1019.0062101648001</v>
      </c>
      <c r="G132" s="152">
        <f>F132*E132</f>
        <v>1019.0062101648001</v>
      </c>
      <c r="H132" s="70"/>
    </row>
    <row r="133" spans="1:8" ht="15.75" thickBot="1" x14ac:dyDescent="0.3">
      <c r="A133" s="345" t="s">
        <v>142</v>
      </c>
      <c r="B133" s="346"/>
      <c r="C133" s="346"/>
      <c r="D133" s="346"/>
      <c r="E133" s="346"/>
      <c r="F133" s="346"/>
      <c r="G133" s="153">
        <f>G132*12</f>
        <v>12228.074521977602</v>
      </c>
      <c r="H133" s="1"/>
    </row>
    <row r="134" spans="1:8" ht="15.75" thickBot="1" x14ac:dyDescent="0.3">
      <c r="A134" s="347"/>
      <c r="B134" s="348"/>
      <c r="C134" s="348"/>
      <c r="D134" s="348"/>
      <c r="E134" s="348"/>
      <c r="F134" s="348"/>
      <c r="G134" s="349"/>
      <c r="H134" s="56"/>
    </row>
    <row r="135" spans="1:8" ht="27.75" customHeight="1" thickBot="1" x14ac:dyDescent="0.3">
      <c r="A135" s="350" t="s">
        <v>143</v>
      </c>
      <c r="B135" s="351"/>
      <c r="C135" s="351"/>
      <c r="D135" s="351"/>
      <c r="E135" s="351"/>
      <c r="F135" s="352"/>
      <c r="G135" s="55">
        <f>(G128+G133)</f>
        <v>12716.973513167541</v>
      </c>
      <c r="H135" s="56"/>
    </row>
    <row r="136" spans="1:8" ht="15.75" thickBot="1" x14ac:dyDescent="0.3">
      <c r="A136" s="353" t="s">
        <v>144</v>
      </c>
      <c r="B136" s="354"/>
      <c r="C136" s="354"/>
      <c r="D136" s="354"/>
      <c r="E136" s="354"/>
      <c r="F136" s="355"/>
      <c r="G136" s="71">
        <f>G135*5</f>
        <v>63584.867565837703</v>
      </c>
      <c r="H136" s="56"/>
    </row>
    <row r="137" spans="1:8" x14ac:dyDescent="0.25">
      <c r="A137" s="57"/>
      <c r="B137" s="57"/>
      <c r="C137" s="57"/>
      <c r="D137" s="57"/>
      <c r="E137" s="57"/>
      <c r="F137" s="57"/>
      <c r="G137" s="58"/>
      <c r="H137" s="1"/>
    </row>
    <row r="138" spans="1:8" x14ac:dyDescent="0.25">
      <c r="A138" s="51" t="s">
        <v>145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59" t="s">
        <v>146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59" t="s">
        <v>147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59" t="s">
        <v>148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59" t="s">
        <v>149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59" t="s">
        <v>150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59" t="s">
        <v>151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1" t="s">
        <v>152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1" t="s">
        <v>153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1" t="s">
        <v>154</v>
      </c>
      <c r="B147" s="1"/>
      <c r="C147" s="1"/>
      <c r="D147" s="1"/>
      <c r="E147" s="1"/>
      <c r="F147" s="1"/>
      <c r="G147" s="1"/>
      <c r="H147" s="65"/>
    </row>
    <row r="148" spans="1:8" x14ac:dyDescent="0.25">
      <c r="A148" s="51" t="s">
        <v>155</v>
      </c>
      <c r="B148" s="1"/>
      <c r="C148" s="1"/>
      <c r="D148" s="1"/>
      <c r="E148" s="1"/>
      <c r="F148" s="1"/>
      <c r="G148" s="1"/>
    </row>
  </sheetData>
  <sheetProtection algorithmName="SHA-512" hashValue="8OQNfbmii0jlojhG6PYIgSHVkvEAOA/8AHZNftM4ADrDDlDKsPnZYfXPxvmx7hqkLbAU0lYgx79I5NAQ0b+Ogw==" saltValue="LBGIHYztAM3J/VYweHXMzQ==" spinCount="100000" sheet="1" objects="1" scenarios="1"/>
  <mergeCells count="153">
    <mergeCell ref="B131:D131"/>
    <mergeCell ref="B132:D132"/>
    <mergeCell ref="A133:F133"/>
    <mergeCell ref="A134:G134"/>
    <mergeCell ref="A135:F135"/>
    <mergeCell ref="A136:F136"/>
    <mergeCell ref="A125:B125"/>
    <mergeCell ref="A126:B126"/>
    <mergeCell ref="A127:B127"/>
    <mergeCell ref="A128:F128"/>
    <mergeCell ref="A129:G129"/>
    <mergeCell ref="A130:G130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lessThanOrEqual" allowBlank="1" showInputMessage="1" showErrorMessage="1" sqref="F84">
      <formula1>0.06</formula1>
    </dataValidation>
    <dataValidation type="decimal" operator="lessThanOrEqual" allowBlank="1" showInputMessage="1" showErrorMessage="1" sqref="F86">
      <formula1>0.2</formula1>
    </dataValidation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zoomScaleNormal="100"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1" customWidth="1"/>
    <col min="3" max="4" width="9.28515625" bestFit="1" customWidth="1"/>
    <col min="5" max="5" width="18.28515625" customWidth="1"/>
    <col min="6" max="6" width="14.85546875" customWidth="1"/>
    <col min="7" max="7" width="17.42578125" customWidth="1"/>
  </cols>
  <sheetData>
    <row r="1" spans="1:8" ht="30.75" customHeight="1" thickBot="1" x14ac:dyDescent="0.3">
      <c r="A1" s="218" t="s">
        <v>0</v>
      </c>
      <c r="B1" s="218"/>
      <c r="C1" s="218"/>
      <c r="D1" s="218"/>
      <c r="E1" s="218"/>
      <c r="F1" s="218"/>
      <c r="G1" s="218"/>
      <c r="H1" s="1"/>
    </row>
    <row r="2" spans="1:8" x14ac:dyDescent="0.25">
      <c r="A2" s="219" t="s">
        <v>1</v>
      </c>
      <c r="B2" s="220"/>
      <c r="C2" s="220"/>
      <c r="D2" s="220"/>
      <c r="E2" s="220"/>
      <c r="F2" s="220"/>
      <c r="G2" s="221"/>
      <c r="H2" s="1"/>
    </row>
    <row r="3" spans="1:8" x14ac:dyDescent="0.25">
      <c r="A3" s="222" t="s">
        <v>2</v>
      </c>
      <c r="B3" s="223"/>
      <c r="C3" s="223"/>
      <c r="D3" s="223"/>
      <c r="E3" s="223"/>
      <c r="F3" s="223"/>
      <c r="G3" s="224"/>
      <c r="H3" s="1"/>
    </row>
    <row r="4" spans="1:8" x14ac:dyDescent="0.25">
      <c r="A4" s="225" t="s">
        <v>3</v>
      </c>
      <c r="B4" s="226"/>
      <c r="C4" s="226"/>
      <c r="D4" s="227"/>
      <c r="E4" s="142" t="s">
        <v>4</v>
      </c>
      <c r="F4" s="228" t="s">
        <v>5</v>
      </c>
      <c r="G4" s="229"/>
      <c r="H4" s="1"/>
    </row>
    <row r="5" spans="1:8" ht="15.75" thickBot="1" x14ac:dyDescent="0.3">
      <c r="A5" s="230"/>
      <c r="B5" s="231"/>
      <c r="C5" s="231"/>
      <c r="D5" s="231"/>
      <c r="E5" s="231"/>
      <c r="F5" s="231"/>
      <c r="G5" s="232"/>
      <c r="H5" s="1"/>
    </row>
    <row r="6" spans="1:8" x14ac:dyDescent="0.25">
      <c r="A6" s="246" t="s">
        <v>6</v>
      </c>
      <c r="B6" s="247"/>
      <c r="C6" s="247"/>
      <c r="D6" s="247"/>
      <c r="E6" s="247"/>
      <c r="F6" s="247"/>
      <c r="G6" s="248"/>
      <c r="H6" s="51"/>
    </row>
    <row r="7" spans="1:8" ht="15.75" customHeight="1" x14ac:dyDescent="0.25">
      <c r="A7" s="2" t="s">
        <v>7</v>
      </c>
      <c r="B7" s="233" t="s">
        <v>8</v>
      </c>
      <c r="C7" s="234"/>
      <c r="D7" s="234"/>
      <c r="E7" s="235"/>
      <c r="F7" s="236">
        <v>44812</v>
      </c>
      <c r="G7" s="237"/>
      <c r="H7" s="51"/>
    </row>
    <row r="8" spans="1:8" x14ac:dyDescent="0.25">
      <c r="A8" s="2" t="s">
        <v>9</v>
      </c>
      <c r="B8" s="233" t="s">
        <v>10</v>
      </c>
      <c r="C8" s="234"/>
      <c r="D8" s="234"/>
      <c r="E8" s="235"/>
      <c r="F8" s="236" t="s">
        <v>227</v>
      </c>
      <c r="G8" s="237"/>
      <c r="H8" s="51"/>
    </row>
    <row r="9" spans="1:8" ht="27" customHeight="1" x14ac:dyDescent="0.25">
      <c r="A9" s="28" t="s">
        <v>11</v>
      </c>
      <c r="B9" s="365" t="s">
        <v>12</v>
      </c>
      <c r="C9" s="366"/>
      <c r="D9" s="366"/>
      <c r="E9" s="367"/>
      <c r="F9" s="374" t="s">
        <v>229</v>
      </c>
      <c r="G9" s="375"/>
      <c r="H9" s="51"/>
    </row>
    <row r="10" spans="1:8" x14ac:dyDescent="0.25">
      <c r="A10" s="3" t="s">
        <v>13</v>
      </c>
      <c r="B10" s="233" t="s">
        <v>14</v>
      </c>
      <c r="C10" s="234"/>
      <c r="D10" s="234"/>
      <c r="E10" s="235"/>
      <c r="F10" s="236" t="s">
        <v>228</v>
      </c>
      <c r="G10" s="237"/>
      <c r="H10" s="51"/>
    </row>
    <row r="11" spans="1:8" x14ac:dyDescent="0.25">
      <c r="A11" s="2" t="s">
        <v>15</v>
      </c>
      <c r="B11" s="233" t="s">
        <v>16</v>
      </c>
      <c r="C11" s="234"/>
      <c r="D11" s="234"/>
      <c r="E11" s="235"/>
      <c r="F11" s="238" t="s">
        <v>17</v>
      </c>
      <c r="G11" s="239"/>
      <c r="H11" s="51"/>
    </row>
    <row r="12" spans="1:8" ht="15.75" thickBot="1" x14ac:dyDescent="0.3">
      <c r="A12" s="240"/>
      <c r="B12" s="241"/>
      <c r="C12" s="241"/>
      <c r="D12" s="241"/>
      <c r="E12" s="241"/>
      <c r="F12" s="241"/>
      <c r="G12" s="242"/>
      <c r="H12" s="51"/>
    </row>
    <row r="13" spans="1:8" x14ac:dyDescent="0.25">
      <c r="A13" s="243" t="s">
        <v>18</v>
      </c>
      <c r="B13" s="244"/>
      <c r="C13" s="244"/>
      <c r="D13" s="244"/>
      <c r="E13" s="244"/>
      <c r="F13" s="244"/>
      <c r="G13" s="245"/>
      <c r="H13" s="51"/>
    </row>
    <row r="14" spans="1:8" x14ac:dyDescent="0.25">
      <c r="A14" s="4" t="s">
        <v>19</v>
      </c>
      <c r="B14" s="260" t="s">
        <v>20</v>
      </c>
      <c r="C14" s="260"/>
      <c r="D14" s="260"/>
      <c r="E14" s="260"/>
      <c r="F14" s="236" t="s">
        <v>21</v>
      </c>
      <c r="G14" s="237"/>
      <c r="H14" s="51"/>
    </row>
    <row r="15" spans="1:8" x14ac:dyDescent="0.25">
      <c r="A15" s="5" t="s">
        <v>22</v>
      </c>
      <c r="B15" s="254" t="s">
        <v>162</v>
      </c>
      <c r="C15" s="254"/>
      <c r="D15" s="254"/>
      <c r="E15" s="254"/>
      <c r="F15" s="261">
        <v>1</v>
      </c>
      <c r="G15" s="262"/>
      <c r="H15" s="51"/>
    </row>
    <row r="16" spans="1:8" x14ac:dyDescent="0.25">
      <c r="A16" s="263" t="s">
        <v>24</v>
      </c>
      <c r="B16" s="264"/>
      <c r="C16" s="264"/>
      <c r="D16" s="264"/>
      <c r="E16" s="264"/>
      <c r="F16" s="264"/>
      <c r="G16" s="265"/>
      <c r="H16" s="51"/>
    </row>
    <row r="17" spans="1:8" x14ac:dyDescent="0.25">
      <c r="A17" s="5" t="s">
        <v>7</v>
      </c>
      <c r="B17" s="254" t="s">
        <v>25</v>
      </c>
      <c r="C17" s="254"/>
      <c r="D17" s="254"/>
      <c r="E17" s="266"/>
      <c r="F17" s="267">
        <v>3126.59</v>
      </c>
      <c r="G17" s="268"/>
      <c r="H17" s="51"/>
    </row>
    <row r="18" spans="1:8" x14ac:dyDescent="0.25">
      <c r="A18" s="5" t="s">
        <v>9</v>
      </c>
      <c r="B18" s="254" t="s">
        <v>220</v>
      </c>
      <c r="C18" s="254"/>
      <c r="D18" s="254"/>
      <c r="E18" s="254"/>
      <c r="F18" s="269">
        <v>1212</v>
      </c>
      <c r="G18" s="270"/>
      <c r="H18" s="51"/>
    </row>
    <row r="19" spans="1:8" x14ac:dyDescent="0.25">
      <c r="A19" s="5" t="s">
        <v>11</v>
      </c>
      <c r="B19" s="254" t="s">
        <v>26</v>
      </c>
      <c r="C19" s="254"/>
      <c r="D19" s="254"/>
      <c r="E19" s="254"/>
      <c r="F19" s="255" t="s">
        <v>162</v>
      </c>
      <c r="G19" s="256"/>
      <c r="H19" s="51"/>
    </row>
    <row r="20" spans="1:8" x14ac:dyDescent="0.25">
      <c r="A20" s="5" t="s">
        <v>13</v>
      </c>
      <c r="B20" s="254" t="s">
        <v>27</v>
      </c>
      <c r="C20" s="254"/>
      <c r="D20" s="254"/>
      <c r="E20" s="254"/>
      <c r="F20" s="255" t="s">
        <v>28</v>
      </c>
      <c r="G20" s="256"/>
      <c r="H20" s="51"/>
    </row>
    <row r="21" spans="1:8" ht="15.75" thickBot="1" x14ac:dyDescent="0.3">
      <c r="A21" s="257"/>
      <c r="B21" s="258"/>
      <c r="C21" s="258"/>
      <c r="D21" s="258"/>
      <c r="E21" s="258"/>
      <c r="F21" s="258"/>
      <c r="G21" s="259"/>
      <c r="H21" s="51"/>
    </row>
    <row r="22" spans="1:8" x14ac:dyDescent="0.25">
      <c r="A22" s="246" t="s">
        <v>29</v>
      </c>
      <c r="B22" s="247"/>
      <c r="C22" s="247"/>
      <c r="D22" s="247"/>
      <c r="E22" s="247"/>
      <c r="F22" s="247"/>
      <c r="G22" s="248"/>
      <c r="H22" s="51"/>
    </row>
    <row r="23" spans="1:8" x14ac:dyDescent="0.25">
      <c r="A23" s="6">
        <v>1</v>
      </c>
      <c r="B23" s="274" t="s">
        <v>30</v>
      </c>
      <c r="C23" s="274"/>
      <c r="D23" s="274"/>
      <c r="E23" s="274"/>
      <c r="F23" s="7" t="s">
        <v>31</v>
      </c>
      <c r="G23" s="8" t="s">
        <v>32</v>
      </c>
      <c r="H23" s="60"/>
    </row>
    <row r="24" spans="1:8" x14ac:dyDescent="0.25">
      <c r="A24" s="9" t="s">
        <v>7</v>
      </c>
      <c r="B24" s="276" t="s">
        <v>33</v>
      </c>
      <c r="C24" s="277"/>
      <c r="D24" s="277"/>
      <c r="E24" s="277"/>
      <c r="F24" s="278"/>
      <c r="G24" s="143"/>
      <c r="H24" s="51"/>
    </row>
    <row r="25" spans="1:8" ht="15" customHeight="1" x14ac:dyDescent="0.25">
      <c r="A25" s="9" t="s">
        <v>9</v>
      </c>
      <c r="B25" s="376" t="s">
        <v>34</v>
      </c>
      <c r="C25" s="377"/>
      <c r="D25" s="377"/>
      <c r="E25" s="378"/>
      <c r="F25" s="10"/>
      <c r="G25" s="11">
        <f>G24*F25</f>
        <v>0</v>
      </c>
      <c r="H25" s="51"/>
    </row>
    <row r="26" spans="1:8" x14ac:dyDescent="0.25">
      <c r="A26" s="280" t="s">
        <v>35</v>
      </c>
      <c r="B26" s="277"/>
      <c r="C26" s="277"/>
      <c r="D26" s="277"/>
      <c r="E26" s="278"/>
      <c r="F26" s="12"/>
      <c r="G26" s="11"/>
      <c r="H26" s="51"/>
    </row>
    <row r="27" spans="1:8" x14ac:dyDescent="0.25">
      <c r="A27" s="281" t="s">
        <v>36</v>
      </c>
      <c r="B27" s="282"/>
      <c r="C27" s="282"/>
      <c r="D27" s="282"/>
      <c r="E27" s="282"/>
      <c r="F27" s="283"/>
      <c r="G27" s="13">
        <f>SUM(G24:G26)</f>
        <v>0</v>
      </c>
      <c r="H27" s="51"/>
    </row>
    <row r="28" spans="1:8" ht="15.75" thickBot="1" x14ac:dyDescent="0.3">
      <c r="A28" s="284"/>
      <c r="B28" s="285"/>
      <c r="C28" s="285"/>
      <c r="D28" s="285"/>
      <c r="E28" s="285"/>
      <c r="F28" s="285"/>
      <c r="G28" s="286"/>
      <c r="H28" s="51"/>
    </row>
    <row r="29" spans="1:8" x14ac:dyDescent="0.25">
      <c r="A29" s="246" t="s">
        <v>37</v>
      </c>
      <c r="B29" s="247"/>
      <c r="C29" s="247"/>
      <c r="D29" s="247"/>
      <c r="E29" s="247"/>
      <c r="F29" s="247"/>
      <c r="G29" s="248"/>
      <c r="H29" s="51"/>
    </row>
    <row r="30" spans="1:8" x14ac:dyDescent="0.25">
      <c r="A30" s="271"/>
      <c r="B30" s="272"/>
      <c r="C30" s="272"/>
      <c r="D30" s="272"/>
      <c r="E30" s="272"/>
      <c r="F30" s="272"/>
      <c r="G30" s="273"/>
      <c r="H30" s="51"/>
    </row>
    <row r="31" spans="1:8" x14ac:dyDescent="0.25">
      <c r="A31" s="6" t="s">
        <v>38</v>
      </c>
      <c r="B31" s="274" t="s">
        <v>39</v>
      </c>
      <c r="C31" s="274"/>
      <c r="D31" s="274"/>
      <c r="E31" s="274"/>
      <c r="F31" s="7" t="s">
        <v>31</v>
      </c>
      <c r="G31" s="8" t="s">
        <v>32</v>
      </c>
      <c r="H31" s="51"/>
    </row>
    <row r="32" spans="1:8" x14ac:dyDescent="0.25">
      <c r="A32" s="17" t="s">
        <v>7</v>
      </c>
      <c r="B32" s="275" t="s">
        <v>40</v>
      </c>
      <c r="C32" s="275"/>
      <c r="D32" s="275"/>
      <c r="E32" s="275"/>
      <c r="F32" s="18">
        <v>0.2</v>
      </c>
      <c r="G32" s="11">
        <f t="shared" ref="G32:G39" si="0">$G$27*F32</f>
        <v>0</v>
      </c>
      <c r="H32" s="61"/>
    </row>
    <row r="33" spans="1:8" x14ac:dyDescent="0.25">
      <c r="A33" s="17" t="s">
        <v>9</v>
      </c>
      <c r="B33" s="275" t="s">
        <v>41</v>
      </c>
      <c r="C33" s="275"/>
      <c r="D33" s="275"/>
      <c r="E33" s="275"/>
      <c r="F33" s="18">
        <v>1.4999999999999999E-2</v>
      </c>
      <c r="G33" s="11">
        <f t="shared" si="0"/>
        <v>0</v>
      </c>
      <c r="H33" s="51"/>
    </row>
    <row r="34" spans="1:8" x14ac:dyDescent="0.25">
      <c r="A34" s="17" t="s">
        <v>11</v>
      </c>
      <c r="B34" s="275" t="s">
        <v>42</v>
      </c>
      <c r="C34" s="275"/>
      <c r="D34" s="275"/>
      <c r="E34" s="275"/>
      <c r="F34" s="18">
        <v>0.01</v>
      </c>
      <c r="G34" s="11">
        <f t="shared" si="0"/>
        <v>0</v>
      </c>
      <c r="H34" s="51"/>
    </row>
    <row r="35" spans="1:8" x14ac:dyDescent="0.25">
      <c r="A35" s="17" t="s">
        <v>13</v>
      </c>
      <c r="B35" s="275" t="s">
        <v>43</v>
      </c>
      <c r="C35" s="275"/>
      <c r="D35" s="275"/>
      <c r="E35" s="275"/>
      <c r="F35" s="18">
        <v>2E-3</v>
      </c>
      <c r="G35" s="11">
        <f t="shared" si="0"/>
        <v>0</v>
      </c>
      <c r="H35" s="51"/>
    </row>
    <row r="36" spans="1:8" x14ac:dyDescent="0.25">
      <c r="A36" s="17" t="s">
        <v>15</v>
      </c>
      <c r="B36" s="275" t="s">
        <v>44</v>
      </c>
      <c r="C36" s="275"/>
      <c r="D36" s="275"/>
      <c r="E36" s="275"/>
      <c r="F36" s="18">
        <v>2.5000000000000001E-2</v>
      </c>
      <c r="G36" s="11">
        <f t="shared" si="0"/>
        <v>0</v>
      </c>
      <c r="H36" s="62"/>
    </row>
    <row r="37" spans="1:8" x14ac:dyDescent="0.25">
      <c r="A37" s="17" t="s">
        <v>45</v>
      </c>
      <c r="B37" s="275" t="s">
        <v>46</v>
      </c>
      <c r="C37" s="275"/>
      <c r="D37" s="275"/>
      <c r="E37" s="275"/>
      <c r="F37" s="19">
        <v>0.08</v>
      </c>
      <c r="G37" s="11">
        <f t="shared" si="0"/>
        <v>0</v>
      </c>
      <c r="H37" s="51"/>
    </row>
    <row r="38" spans="1:8" x14ac:dyDescent="0.25">
      <c r="A38" s="17" t="s">
        <v>47</v>
      </c>
      <c r="B38" s="275" t="s">
        <v>48</v>
      </c>
      <c r="C38" s="275"/>
      <c r="D38" s="275"/>
      <c r="E38" s="275"/>
      <c r="F38" s="144"/>
      <c r="G38" s="11">
        <f t="shared" si="0"/>
        <v>0</v>
      </c>
      <c r="H38" s="51"/>
    </row>
    <row r="39" spans="1:8" x14ac:dyDescent="0.25">
      <c r="A39" s="17" t="s">
        <v>49</v>
      </c>
      <c r="B39" s="275" t="s">
        <v>50</v>
      </c>
      <c r="C39" s="275"/>
      <c r="D39" s="275"/>
      <c r="E39" s="275"/>
      <c r="F39" s="18">
        <v>6.0000000000000001E-3</v>
      </c>
      <c r="G39" s="11">
        <f t="shared" si="0"/>
        <v>0</v>
      </c>
      <c r="H39" s="60"/>
    </row>
    <row r="40" spans="1:8" x14ac:dyDescent="0.25">
      <c r="A40" s="287" t="s">
        <v>51</v>
      </c>
      <c r="B40" s="288"/>
      <c r="C40" s="288"/>
      <c r="D40" s="288"/>
      <c r="E40" s="288"/>
      <c r="F40" s="20">
        <f>SUM(F32:F39)</f>
        <v>0.33800000000000008</v>
      </c>
      <c r="G40" s="13">
        <f>SUM(G32:G39)</f>
        <v>0</v>
      </c>
      <c r="H40" s="59"/>
    </row>
    <row r="41" spans="1:8" x14ac:dyDescent="0.25">
      <c r="A41" s="271"/>
      <c r="B41" s="272"/>
      <c r="C41" s="272"/>
      <c r="D41" s="272"/>
      <c r="E41" s="272"/>
      <c r="F41" s="272"/>
      <c r="G41" s="273"/>
      <c r="H41" s="63"/>
    </row>
    <row r="42" spans="1:8" x14ac:dyDescent="0.25">
      <c r="A42" s="6" t="s">
        <v>52</v>
      </c>
      <c r="B42" s="274" t="s">
        <v>53</v>
      </c>
      <c r="C42" s="274"/>
      <c r="D42" s="274"/>
      <c r="E42" s="274"/>
      <c r="F42" s="7" t="s">
        <v>31</v>
      </c>
      <c r="G42" s="8" t="s">
        <v>32</v>
      </c>
      <c r="H42" s="51"/>
    </row>
    <row r="43" spans="1:8" x14ac:dyDescent="0.25">
      <c r="A43" s="17" t="s">
        <v>7</v>
      </c>
      <c r="B43" s="275" t="s">
        <v>54</v>
      </c>
      <c r="C43" s="275"/>
      <c r="D43" s="275"/>
      <c r="E43" s="275"/>
      <c r="F43" s="18">
        <v>8.3330000000000001E-2</v>
      </c>
      <c r="G43" s="11">
        <f>SUM($G$27*F43)</f>
        <v>0</v>
      </c>
      <c r="H43" s="59"/>
    </row>
    <row r="44" spans="1:8" x14ac:dyDescent="0.25">
      <c r="A44" s="17" t="s">
        <v>9</v>
      </c>
      <c r="B44" s="275" t="s">
        <v>55</v>
      </c>
      <c r="C44" s="275"/>
      <c r="D44" s="275"/>
      <c r="E44" s="275"/>
      <c r="F44" s="18">
        <v>8.3299999999999999E-2</v>
      </c>
      <c r="G44" s="21">
        <f>G27*F44</f>
        <v>0</v>
      </c>
      <c r="H44" s="59"/>
    </row>
    <row r="45" spans="1:8" x14ac:dyDescent="0.25">
      <c r="A45" s="17" t="s">
        <v>11</v>
      </c>
      <c r="B45" s="275" t="s">
        <v>56</v>
      </c>
      <c r="C45" s="275"/>
      <c r="D45" s="275"/>
      <c r="E45" s="275"/>
      <c r="F45" s="18">
        <f>1/3/12</f>
        <v>2.7777777777777776E-2</v>
      </c>
      <c r="G45" s="11">
        <f>SUM($G$27*F45)</f>
        <v>0</v>
      </c>
      <c r="H45" s="59"/>
    </row>
    <row r="46" spans="1:8" x14ac:dyDescent="0.25">
      <c r="A46" s="17" t="s">
        <v>13</v>
      </c>
      <c r="B46" s="275" t="s">
        <v>57</v>
      </c>
      <c r="C46" s="275"/>
      <c r="D46" s="275"/>
      <c r="E46" s="275"/>
      <c r="F46" s="22">
        <f>7/30/12</f>
        <v>1.9444444444444445E-2</v>
      </c>
      <c r="G46" s="11">
        <f>(G27)*F46</f>
        <v>0</v>
      </c>
      <c r="H46" s="59"/>
    </row>
    <row r="47" spans="1:8" x14ac:dyDescent="0.25">
      <c r="A47" s="17" t="s">
        <v>15</v>
      </c>
      <c r="B47" s="275" t="s">
        <v>58</v>
      </c>
      <c r="C47" s="275"/>
      <c r="D47" s="275"/>
      <c r="E47" s="275"/>
      <c r="F47" s="18">
        <f>5/30/12</f>
        <v>1.3888888888888888E-2</v>
      </c>
      <c r="G47" s="21">
        <f>G27*F47</f>
        <v>0</v>
      </c>
      <c r="H47" s="59"/>
    </row>
    <row r="48" spans="1:8" x14ac:dyDescent="0.25">
      <c r="A48" s="17" t="s">
        <v>45</v>
      </c>
      <c r="B48" s="275" t="s">
        <v>59</v>
      </c>
      <c r="C48" s="275"/>
      <c r="D48" s="275"/>
      <c r="E48" s="275"/>
      <c r="F48" s="18">
        <f>5/30/12*0.015</f>
        <v>2.0833333333333332E-4</v>
      </c>
      <c r="G48" s="21">
        <f>G27*F48</f>
        <v>0</v>
      </c>
      <c r="H48" s="51"/>
    </row>
    <row r="49" spans="1:8" x14ac:dyDescent="0.25">
      <c r="A49" s="17" t="s">
        <v>47</v>
      </c>
      <c r="B49" s="275" t="s">
        <v>60</v>
      </c>
      <c r="C49" s="275"/>
      <c r="D49" s="275"/>
      <c r="E49" s="275"/>
      <c r="F49" s="18">
        <f>1/30/12</f>
        <v>2.7777777777777779E-3</v>
      </c>
      <c r="G49" s="21">
        <f>G27*F49</f>
        <v>0</v>
      </c>
      <c r="H49" s="60"/>
    </row>
    <row r="50" spans="1:8" x14ac:dyDescent="0.25">
      <c r="A50" s="17" t="s">
        <v>49</v>
      </c>
      <c r="B50" s="275" t="s">
        <v>61</v>
      </c>
      <c r="C50" s="275"/>
      <c r="D50" s="275"/>
      <c r="E50" s="275"/>
      <c r="F50" s="18">
        <f>15/30/12*0.08</f>
        <v>3.3333333333333331E-3</v>
      </c>
      <c r="G50" s="21">
        <f>G27*F50</f>
        <v>0</v>
      </c>
      <c r="H50" s="51"/>
    </row>
    <row r="51" spans="1:8" x14ac:dyDescent="0.25">
      <c r="A51" s="17" t="s">
        <v>62</v>
      </c>
      <c r="B51" s="275" t="s">
        <v>63</v>
      </c>
      <c r="C51" s="275"/>
      <c r="D51" s="275"/>
      <c r="E51" s="275"/>
      <c r="F51" s="18"/>
      <c r="G51" s="21">
        <f>G27*F51</f>
        <v>0</v>
      </c>
      <c r="H51" s="51"/>
    </row>
    <row r="52" spans="1:8" x14ac:dyDescent="0.25">
      <c r="A52" s="17"/>
      <c r="B52" s="290" t="s">
        <v>64</v>
      </c>
      <c r="C52" s="290"/>
      <c r="D52" s="290"/>
      <c r="E52" s="290"/>
      <c r="F52" s="23">
        <f>SUM(F43:F51)</f>
        <v>0.23406055555555555</v>
      </c>
      <c r="G52" s="24">
        <f>SUM($G$27*F52)</f>
        <v>0</v>
      </c>
      <c r="H52" s="51"/>
    </row>
    <row r="53" spans="1:8" x14ac:dyDescent="0.25">
      <c r="A53" s="2" t="s">
        <v>65</v>
      </c>
      <c r="B53" s="275" t="s">
        <v>66</v>
      </c>
      <c r="C53" s="275"/>
      <c r="D53" s="275"/>
      <c r="E53" s="275"/>
      <c r="F53" s="18">
        <f>F40*F52</f>
        <v>7.9112467777777792E-2</v>
      </c>
      <c r="G53" s="11">
        <f>F53*G27</f>
        <v>0</v>
      </c>
      <c r="H53" s="59"/>
    </row>
    <row r="54" spans="1:8" x14ac:dyDescent="0.25">
      <c r="A54" s="289" t="s">
        <v>67</v>
      </c>
      <c r="B54" s="290"/>
      <c r="C54" s="290"/>
      <c r="D54" s="290"/>
      <c r="E54" s="290"/>
      <c r="F54" s="25">
        <f>SUM(F52:F53)</f>
        <v>0.31317302333333336</v>
      </c>
      <c r="G54" s="13">
        <f>G52+G53</f>
        <v>0</v>
      </c>
      <c r="H54" s="59"/>
    </row>
    <row r="55" spans="1:8" x14ac:dyDescent="0.25">
      <c r="A55" s="271"/>
      <c r="B55" s="272"/>
      <c r="C55" s="272"/>
      <c r="D55" s="272"/>
      <c r="E55" s="272"/>
      <c r="F55" s="272"/>
      <c r="G55" s="273"/>
      <c r="H55" s="59"/>
    </row>
    <row r="56" spans="1:8" x14ac:dyDescent="0.25">
      <c r="A56" s="6" t="s">
        <v>68</v>
      </c>
      <c r="B56" s="274" t="s">
        <v>69</v>
      </c>
      <c r="C56" s="274"/>
      <c r="D56" s="274"/>
      <c r="E56" s="274"/>
      <c r="F56" s="7" t="s">
        <v>31</v>
      </c>
      <c r="G56" s="8" t="s">
        <v>32</v>
      </c>
      <c r="H56" s="51"/>
    </row>
    <row r="57" spans="1:8" x14ac:dyDescent="0.25">
      <c r="A57" s="17" t="s">
        <v>7</v>
      </c>
      <c r="B57" s="275" t="s">
        <v>70</v>
      </c>
      <c r="C57" s="275"/>
      <c r="D57" s="275"/>
      <c r="E57" s="275"/>
      <c r="F57" s="18">
        <f>4/12*0.02</f>
        <v>6.6666666666666662E-3</v>
      </c>
      <c r="G57" s="21">
        <f>G27*F57</f>
        <v>0</v>
      </c>
      <c r="H57" s="293"/>
    </row>
    <row r="58" spans="1:8" x14ac:dyDescent="0.25">
      <c r="A58" s="17" t="s">
        <v>9</v>
      </c>
      <c r="B58" s="275" t="s">
        <v>71</v>
      </c>
      <c r="C58" s="275"/>
      <c r="D58" s="275"/>
      <c r="E58" s="275"/>
      <c r="F58" s="18">
        <f>0.1111*0.02*4/12</f>
        <v>7.4066666666666671E-4</v>
      </c>
      <c r="G58" s="21">
        <f>G27*F58</f>
        <v>0</v>
      </c>
      <c r="H58" s="293"/>
    </row>
    <row r="59" spans="1:8" x14ac:dyDescent="0.25">
      <c r="A59" s="17"/>
      <c r="B59" s="290" t="s">
        <v>64</v>
      </c>
      <c r="C59" s="290"/>
      <c r="D59" s="290"/>
      <c r="E59" s="290"/>
      <c r="F59" s="23">
        <f>SUM(F57:F58)</f>
        <v>7.4073333333333326E-3</v>
      </c>
      <c r="G59" s="24">
        <f>SUM($G$27*F59)</f>
        <v>0</v>
      </c>
      <c r="H59" s="62"/>
    </row>
    <row r="60" spans="1:8" x14ac:dyDescent="0.25">
      <c r="A60" s="17" t="s">
        <v>11</v>
      </c>
      <c r="B60" s="275" t="s">
        <v>72</v>
      </c>
      <c r="C60" s="275"/>
      <c r="D60" s="275"/>
      <c r="E60" s="275"/>
      <c r="F60" s="26">
        <f>F59*F40</f>
        <v>2.5036786666666668E-3</v>
      </c>
      <c r="G60" s="11">
        <f>F60*G27</f>
        <v>0</v>
      </c>
      <c r="H60" s="51"/>
    </row>
    <row r="61" spans="1:8" x14ac:dyDescent="0.25">
      <c r="A61" s="289" t="s">
        <v>73</v>
      </c>
      <c r="B61" s="290"/>
      <c r="C61" s="290"/>
      <c r="D61" s="290"/>
      <c r="E61" s="290"/>
      <c r="F61" s="25">
        <f>SUM(F59:F60)</f>
        <v>9.9110120000000003E-3</v>
      </c>
      <c r="G61" s="13">
        <f>SUM(G59:G60)</f>
        <v>0</v>
      </c>
      <c r="H61" s="51"/>
    </row>
    <row r="62" spans="1:8" x14ac:dyDescent="0.25">
      <c r="A62" s="271"/>
      <c r="B62" s="272"/>
      <c r="C62" s="272"/>
      <c r="D62" s="272"/>
      <c r="E62" s="272"/>
      <c r="F62" s="272"/>
      <c r="G62" s="273"/>
      <c r="H62" s="51"/>
    </row>
    <row r="63" spans="1:8" x14ac:dyDescent="0.25">
      <c r="A63" s="6" t="s">
        <v>74</v>
      </c>
      <c r="B63" s="274" t="s">
        <v>75</v>
      </c>
      <c r="C63" s="274"/>
      <c r="D63" s="274"/>
      <c r="E63" s="274"/>
      <c r="F63" s="7" t="s">
        <v>31</v>
      </c>
      <c r="G63" s="8" t="s">
        <v>32</v>
      </c>
      <c r="H63" s="51"/>
    </row>
    <row r="64" spans="1:8" x14ac:dyDescent="0.25">
      <c r="A64" s="17" t="s">
        <v>7</v>
      </c>
      <c r="B64" s="275" t="s">
        <v>76</v>
      </c>
      <c r="C64" s="275"/>
      <c r="D64" s="275"/>
      <c r="E64" s="275"/>
      <c r="F64" s="22">
        <f>0.05*1/12</f>
        <v>4.1666666666666666E-3</v>
      </c>
      <c r="G64" s="11">
        <f>($G$27)*F64</f>
        <v>0</v>
      </c>
      <c r="H64" s="51"/>
    </row>
    <row r="65" spans="1:8" ht="26.25" customHeight="1" x14ac:dyDescent="0.25">
      <c r="A65" s="17" t="s">
        <v>9</v>
      </c>
      <c r="B65" s="275" t="s">
        <v>77</v>
      </c>
      <c r="C65" s="275"/>
      <c r="D65" s="275"/>
      <c r="E65" s="275"/>
      <c r="F65" s="22">
        <f>0.02*1/12</f>
        <v>1.6666666666666668E-3</v>
      </c>
      <c r="G65" s="11">
        <f>($G$27)*F65</f>
        <v>0</v>
      </c>
      <c r="H65" s="51"/>
    </row>
    <row r="66" spans="1:8" ht="27" customHeight="1" x14ac:dyDescent="0.25">
      <c r="A66" s="28" t="s">
        <v>11</v>
      </c>
      <c r="B66" s="291" t="s">
        <v>78</v>
      </c>
      <c r="C66" s="291"/>
      <c r="D66" s="291"/>
      <c r="E66" s="291"/>
      <c r="F66" s="79">
        <f>1*0.4*0.08</f>
        <v>3.2000000000000001E-2</v>
      </c>
      <c r="G66" s="30">
        <f>($G$27)*F66</f>
        <v>0</v>
      </c>
      <c r="H66" s="51"/>
    </row>
    <row r="67" spans="1:8" ht="27" customHeight="1" x14ac:dyDescent="0.25">
      <c r="A67" s="28" t="s">
        <v>13</v>
      </c>
      <c r="B67" s="291" t="s">
        <v>79</v>
      </c>
      <c r="C67" s="291"/>
      <c r="D67" s="291"/>
      <c r="E67" s="291"/>
      <c r="F67" s="72">
        <f>1*0.1*0.08</f>
        <v>8.0000000000000002E-3</v>
      </c>
      <c r="G67" s="30">
        <f>($G$27)*F67</f>
        <v>0</v>
      </c>
      <c r="H67" s="51"/>
    </row>
    <row r="68" spans="1:8" x14ac:dyDescent="0.25">
      <c r="A68" s="289" t="s">
        <v>64</v>
      </c>
      <c r="B68" s="290"/>
      <c r="C68" s="290"/>
      <c r="D68" s="290"/>
      <c r="E68" s="290"/>
      <c r="F68" s="27">
        <f>SUM(F64:F67)</f>
        <v>4.5833333333333337E-2</v>
      </c>
      <c r="G68" s="24">
        <f>SUM(G64:G67)</f>
        <v>0</v>
      </c>
      <c r="H68" s="51"/>
    </row>
    <row r="69" spans="1:8" ht="27" customHeight="1" x14ac:dyDescent="0.25">
      <c r="A69" s="28" t="s">
        <v>15</v>
      </c>
      <c r="B69" s="292" t="s">
        <v>80</v>
      </c>
      <c r="C69" s="292"/>
      <c r="D69" s="292"/>
      <c r="E69" s="292"/>
      <c r="F69" s="29">
        <f>F37*F64</f>
        <v>3.3333333333333332E-4</v>
      </c>
      <c r="G69" s="30">
        <f>F69*$G$27</f>
        <v>0</v>
      </c>
      <c r="H69" s="51"/>
    </row>
    <row r="70" spans="1:8" ht="27" customHeight="1" x14ac:dyDescent="0.25">
      <c r="A70" s="28" t="s">
        <v>45</v>
      </c>
      <c r="B70" s="249" t="s">
        <v>81</v>
      </c>
      <c r="C70" s="250"/>
      <c r="D70" s="250"/>
      <c r="E70" s="251"/>
      <c r="F70" s="29">
        <f>F37*F50</f>
        <v>2.6666666666666668E-4</v>
      </c>
      <c r="G70" s="30">
        <f>F70*$G$27</f>
        <v>0</v>
      </c>
      <c r="H70" s="51"/>
    </row>
    <row r="71" spans="1:8" x14ac:dyDescent="0.25">
      <c r="A71" s="289" t="s">
        <v>82</v>
      </c>
      <c r="B71" s="290"/>
      <c r="C71" s="290"/>
      <c r="D71" s="290"/>
      <c r="E71" s="290"/>
      <c r="F71" s="25">
        <f>SUM(F68:F70)</f>
        <v>4.6433333333333333E-2</v>
      </c>
      <c r="G71" s="13">
        <f>SUM(G68:G70)</f>
        <v>0</v>
      </c>
      <c r="H71" s="51"/>
    </row>
    <row r="72" spans="1:8" x14ac:dyDescent="0.25">
      <c r="A72" s="271"/>
      <c r="B72" s="272"/>
      <c r="C72" s="272"/>
      <c r="D72" s="272"/>
      <c r="E72" s="272"/>
      <c r="F72" s="272"/>
      <c r="G72" s="273"/>
      <c r="H72" s="51"/>
    </row>
    <row r="73" spans="1:8" x14ac:dyDescent="0.25">
      <c r="A73" s="263" t="s">
        <v>83</v>
      </c>
      <c r="B73" s="264"/>
      <c r="C73" s="264"/>
      <c r="D73" s="264"/>
      <c r="E73" s="264"/>
      <c r="F73" s="264"/>
      <c r="G73" s="265"/>
      <c r="H73" s="51"/>
    </row>
    <row r="74" spans="1:8" x14ac:dyDescent="0.25">
      <c r="A74" s="6">
        <v>2</v>
      </c>
      <c r="B74" s="274" t="s">
        <v>84</v>
      </c>
      <c r="C74" s="274"/>
      <c r="D74" s="274"/>
      <c r="E74" s="274"/>
      <c r="F74" s="31" t="s">
        <v>31</v>
      </c>
      <c r="G74" s="32" t="s">
        <v>32</v>
      </c>
      <c r="H74" s="51"/>
    </row>
    <row r="75" spans="1:8" x14ac:dyDescent="0.25">
      <c r="A75" s="33" t="s">
        <v>85</v>
      </c>
      <c r="B75" s="294" t="s">
        <v>39</v>
      </c>
      <c r="C75" s="295"/>
      <c r="D75" s="295"/>
      <c r="E75" s="295"/>
      <c r="F75" s="34">
        <f>F40</f>
        <v>0.33800000000000008</v>
      </c>
      <c r="G75" s="35">
        <f>G40</f>
        <v>0</v>
      </c>
      <c r="H75" s="51"/>
    </row>
    <row r="76" spans="1:8" x14ac:dyDescent="0.25">
      <c r="A76" s="33" t="s">
        <v>86</v>
      </c>
      <c r="B76" s="294" t="s">
        <v>53</v>
      </c>
      <c r="C76" s="295"/>
      <c r="D76" s="295"/>
      <c r="E76" s="295"/>
      <c r="F76" s="34">
        <f>F54</f>
        <v>0.31317302333333336</v>
      </c>
      <c r="G76" s="35">
        <f>G54</f>
        <v>0</v>
      </c>
      <c r="H76" s="51"/>
    </row>
    <row r="77" spans="1:8" x14ac:dyDescent="0.25">
      <c r="A77" s="33" t="s">
        <v>87</v>
      </c>
      <c r="B77" s="294" t="s">
        <v>88</v>
      </c>
      <c r="C77" s="295"/>
      <c r="D77" s="295"/>
      <c r="E77" s="295"/>
      <c r="F77" s="34">
        <f>F61</f>
        <v>9.9110120000000003E-3</v>
      </c>
      <c r="G77" s="35">
        <f>G61</f>
        <v>0</v>
      </c>
      <c r="H77" s="51"/>
    </row>
    <row r="78" spans="1:8" x14ac:dyDescent="0.25">
      <c r="A78" s="33" t="s">
        <v>89</v>
      </c>
      <c r="B78" s="294" t="s">
        <v>75</v>
      </c>
      <c r="C78" s="295"/>
      <c r="D78" s="295"/>
      <c r="E78" s="295"/>
      <c r="F78" s="34">
        <f>F71</f>
        <v>4.6433333333333333E-2</v>
      </c>
      <c r="G78" s="35">
        <f>G71</f>
        <v>0</v>
      </c>
      <c r="H78" s="51"/>
    </row>
    <row r="79" spans="1:8" x14ac:dyDescent="0.25">
      <c r="A79" s="296" t="s">
        <v>90</v>
      </c>
      <c r="B79" s="297"/>
      <c r="C79" s="297"/>
      <c r="D79" s="297"/>
      <c r="E79" s="298"/>
      <c r="F79" s="25">
        <f>SUM(F75:F78)</f>
        <v>0.70751736866666681</v>
      </c>
      <c r="G79" s="36">
        <f>SUM(G75:G78)</f>
        <v>0</v>
      </c>
      <c r="H79" s="51"/>
    </row>
    <row r="80" spans="1:8" ht="15.75" thickBot="1" x14ac:dyDescent="0.3">
      <c r="A80" s="299"/>
      <c r="B80" s="300"/>
      <c r="C80" s="300"/>
      <c r="D80" s="300"/>
      <c r="E80" s="300"/>
      <c r="F80" s="300"/>
      <c r="G80" s="301"/>
      <c r="H80" s="65"/>
    </row>
    <row r="81" spans="1:8" ht="27" customHeight="1" x14ac:dyDescent="0.25">
      <c r="A81" s="246" t="s">
        <v>91</v>
      </c>
      <c r="B81" s="247"/>
      <c r="C81" s="247"/>
      <c r="D81" s="247"/>
      <c r="E81" s="247"/>
      <c r="F81" s="247"/>
      <c r="G81" s="248"/>
      <c r="H81" s="51"/>
    </row>
    <row r="82" spans="1:8" ht="27" customHeight="1" x14ac:dyDescent="0.25">
      <c r="A82" s="77">
        <v>3</v>
      </c>
      <c r="B82" s="305" t="s">
        <v>92</v>
      </c>
      <c r="C82" s="305"/>
      <c r="D82" s="305"/>
      <c r="E82" s="305"/>
      <c r="F82" s="40" t="s">
        <v>31</v>
      </c>
      <c r="G82" s="78" t="s">
        <v>32</v>
      </c>
      <c r="H82" s="65"/>
    </row>
    <row r="83" spans="1:8" ht="27" customHeight="1" x14ac:dyDescent="0.25">
      <c r="A83" s="28" t="s">
        <v>7</v>
      </c>
      <c r="B83" s="365" t="s">
        <v>93</v>
      </c>
      <c r="C83" s="366"/>
      <c r="D83" s="366"/>
      <c r="E83" s="366"/>
      <c r="F83" s="367"/>
      <c r="G83" s="141">
        <f>2*3*22</f>
        <v>132</v>
      </c>
      <c r="H83" s="66"/>
    </row>
    <row r="84" spans="1:8" ht="27" customHeight="1" x14ac:dyDescent="0.25">
      <c r="A84" s="28" t="s">
        <v>94</v>
      </c>
      <c r="B84" s="291" t="s">
        <v>226</v>
      </c>
      <c r="C84" s="291"/>
      <c r="D84" s="291"/>
      <c r="E84" s="291"/>
      <c r="F84" s="139">
        <v>0.06</v>
      </c>
      <c r="G84" s="30">
        <f>IF(G24*F84&gt;G83,-G83,-(G24*F84))</f>
        <v>0</v>
      </c>
      <c r="H84" s="51"/>
    </row>
    <row r="85" spans="1:8" x14ac:dyDescent="0.25">
      <c r="A85" s="17" t="s">
        <v>9</v>
      </c>
      <c r="B85" s="302" t="s">
        <v>95</v>
      </c>
      <c r="C85" s="303"/>
      <c r="D85" s="303"/>
      <c r="E85" s="303"/>
      <c r="F85" s="304"/>
      <c r="G85" s="11">
        <f>22*22.57</f>
        <v>496.54</v>
      </c>
      <c r="H85" s="66"/>
    </row>
    <row r="86" spans="1:8" x14ac:dyDescent="0.25">
      <c r="A86" s="17" t="s">
        <v>96</v>
      </c>
      <c r="B86" s="275" t="s">
        <v>224</v>
      </c>
      <c r="C86" s="275"/>
      <c r="D86" s="275"/>
      <c r="E86" s="275"/>
      <c r="F86" s="140">
        <v>0.2</v>
      </c>
      <c r="G86" s="11">
        <f>-(G85*F86)</f>
        <v>-99.308000000000007</v>
      </c>
      <c r="H86" s="51"/>
    </row>
    <row r="87" spans="1:8" x14ac:dyDescent="0.25">
      <c r="A87" s="17" t="s">
        <v>11</v>
      </c>
      <c r="B87" s="302" t="s">
        <v>97</v>
      </c>
      <c r="C87" s="303"/>
      <c r="D87" s="303"/>
      <c r="E87" s="303"/>
      <c r="F87" s="304"/>
      <c r="G87" s="143"/>
      <c r="H87" s="51"/>
    </row>
    <row r="88" spans="1:8" x14ac:dyDescent="0.25">
      <c r="A88" s="17" t="s">
        <v>13</v>
      </c>
      <c r="B88" s="302" t="s">
        <v>98</v>
      </c>
      <c r="C88" s="303"/>
      <c r="D88" s="303"/>
      <c r="E88" s="303"/>
      <c r="F88" s="304"/>
      <c r="G88" s="143"/>
      <c r="H88" s="51"/>
    </row>
    <row r="89" spans="1:8" x14ac:dyDescent="0.25">
      <c r="A89" s="17" t="s">
        <v>15</v>
      </c>
      <c r="B89" s="302" t="s">
        <v>99</v>
      </c>
      <c r="C89" s="303"/>
      <c r="D89" s="303"/>
      <c r="E89" s="303"/>
      <c r="F89" s="304"/>
      <c r="G89" s="143"/>
      <c r="H89" s="51"/>
    </row>
    <row r="90" spans="1:8" x14ac:dyDescent="0.25">
      <c r="A90" s="17" t="s">
        <v>45</v>
      </c>
      <c r="B90" s="302" t="s">
        <v>100</v>
      </c>
      <c r="C90" s="303"/>
      <c r="D90" s="303"/>
      <c r="E90" s="303"/>
      <c r="F90" s="304"/>
      <c r="G90" s="143"/>
      <c r="H90" s="51"/>
    </row>
    <row r="91" spans="1:8" x14ac:dyDescent="0.25">
      <c r="A91" s="17" t="s">
        <v>47</v>
      </c>
      <c r="B91" s="302" t="s">
        <v>101</v>
      </c>
      <c r="C91" s="303"/>
      <c r="D91" s="303"/>
      <c r="E91" s="303"/>
      <c r="F91" s="304"/>
      <c r="G91" s="143"/>
      <c r="H91" s="60"/>
    </row>
    <row r="92" spans="1:8" x14ac:dyDescent="0.25">
      <c r="A92" s="17" t="s">
        <v>49</v>
      </c>
      <c r="B92" s="302" t="s">
        <v>102</v>
      </c>
      <c r="C92" s="303"/>
      <c r="D92" s="303"/>
      <c r="E92" s="303"/>
      <c r="F92" s="304"/>
      <c r="G92" s="11">
        <v>41.2</v>
      </c>
      <c r="H92" s="51"/>
    </row>
    <row r="93" spans="1:8" x14ac:dyDescent="0.25">
      <c r="A93" s="17" t="s">
        <v>103</v>
      </c>
      <c r="B93" s="302" t="s">
        <v>63</v>
      </c>
      <c r="C93" s="303"/>
      <c r="D93" s="303"/>
      <c r="E93" s="303"/>
      <c r="F93" s="304"/>
      <c r="G93" s="143"/>
      <c r="H93" s="51"/>
    </row>
    <row r="94" spans="1:8" x14ac:dyDescent="0.25">
      <c r="A94" s="312" t="s">
        <v>104</v>
      </c>
      <c r="B94" s="313"/>
      <c r="C94" s="313"/>
      <c r="D94" s="313"/>
      <c r="E94" s="313"/>
      <c r="F94" s="314"/>
      <c r="G94" s="37">
        <f>SUM(G83:G93)</f>
        <v>570.43200000000002</v>
      </c>
      <c r="H94" s="51"/>
    </row>
    <row r="95" spans="1:8" ht="15.75" thickBot="1" x14ac:dyDescent="0.3">
      <c r="A95" s="315"/>
      <c r="B95" s="316"/>
      <c r="C95" s="316"/>
      <c r="D95" s="316"/>
      <c r="E95" s="316"/>
      <c r="F95" s="316"/>
      <c r="G95" s="317"/>
      <c r="H95" s="67"/>
    </row>
    <row r="96" spans="1:8" x14ac:dyDescent="0.25">
      <c r="A96" s="246" t="s">
        <v>105</v>
      </c>
      <c r="B96" s="247"/>
      <c r="C96" s="247"/>
      <c r="D96" s="247"/>
      <c r="E96" s="247"/>
      <c r="F96" s="247"/>
      <c r="G96" s="248"/>
      <c r="H96" s="67"/>
    </row>
    <row r="97" spans="1:8" x14ac:dyDescent="0.25">
      <c r="A97" s="6">
        <v>4</v>
      </c>
      <c r="B97" s="318" t="s">
        <v>106</v>
      </c>
      <c r="C97" s="300"/>
      <c r="D97" s="300"/>
      <c r="E97" s="300"/>
      <c r="F97" s="319"/>
      <c r="G97" s="8" t="s">
        <v>32</v>
      </c>
      <c r="H97" s="51"/>
    </row>
    <row r="98" spans="1:8" x14ac:dyDescent="0.25">
      <c r="A98" s="17" t="s">
        <v>7</v>
      </c>
      <c r="B98" s="302" t="s">
        <v>107</v>
      </c>
      <c r="C98" s="303"/>
      <c r="D98" s="303"/>
      <c r="E98" s="303"/>
      <c r="F98" s="304"/>
      <c r="G98" s="143"/>
      <c r="H98" s="51"/>
    </row>
    <row r="99" spans="1:8" x14ac:dyDescent="0.25">
      <c r="A99" s="17" t="s">
        <v>9</v>
      </c>
      <c r="B99" s="302" t="s">
        <v>108</v>
      </c>
      <c r="C99" s="303"/>
      <c r="D99" s="303"/>
      <c r="E99" s="303"/>
      <c r="F99" s="304"/>
      <c r="G99" s="143"/>
      <c r="H99" s="51"/>
    </row>
    <row r="100" spans="1:8" x14ac:dyDescent="0.25">
      <c r="A100" s="17" t="s">
        <v>11</v>
      </c>
      <c r="B100" s="302" t="s">
        <v>109</v>
      </c>
      <c r="C100" s="303"/>
      <c r="D100" s="303"/>
      <c r="E100" s="303"/>
      <c r="F100" s="304"/>
      <c r="G100" s="143"/>
      <c r="H100" s="51"/>
    </row>
    <row r="101" spans="1:8" x14ac:dyDescent="0.25">
      <c r="A101" s="17" t="s">
        <v>13</v>
      </c>
      <c r="B101" s="302" t="s">
        <v>63</v>
      </c>
      <c r="C101" s="303"/>
      <c r="D101" s="303"/>
      <c r="E101" s="303"/>
      <c r="F101" s="304"/>
      <c r="G101" s="143"/>
      <c r="H101" s="1"/>
    </row>
    <row r="102" spans="1:8" x14ac:dyDescent="0.25">
      <c r="A102" s="296" t="s">
        <v>110</v>
      </c>
      <c r="B102" s="297"/>
      <c r="C102" s="297"/>
      <c r="D102" s="297"/>
      <c r="E102" s="297"/>
      <c r="F102" s="306"/>
      <c r="G102" s="13">
        <f>SUM(G98:G101)</f>
        <v>0</v>
      </c>
      <c r="H102" s="1"/>
    </row>
    <row r="103" spans="1:8" ht="15.75" thickBot="1" x14ac:dyDescent="0.3">
      <c r="A103" s="307"/>
      <c r="B103" s="308"/>
      <c r="C103" s="308"/>
      <c r="D103" s="308"/>
      <c r="E103" s="308"/>
      <c r="F103" s="308"/>
      <c r="G103" s="309"/>
      <c r="H103" s="1"/>
    </row>
    <row r="104" spans="1:8" ht="15.75" thickBot="1" x14ac:dyDescent="0.3">
      <c r="A104" s="310" t="s">
        <v>111</v>
      </c>
      <c r="B104" s="311"/>
      <c r="C104" s="311"/>
      <c r="D104" s="311"/>
      <c r="E104" s="311"/>
      <c r="F104" s="311"/>
      <c r="G104" s="146">
        <f>G27+G79+G94+G102</f>
        <v>570.43200000000002</v>
      </c>
      <c r="H104" s="1"/>
    </row>
    <row r="105" spans="1:8" ht="15.75" thickBot="1" x14ac:dyDescent="0.3">
      <c r="A105" s="230"/>
      <c r="B105" s="231"/>
      <c r="C105" s="231"/>
      <c r="D105" s="231"/>
      <c r="E105" s="231"/>
      <c r="F105" s="231"/>
      <c r="G105" s="232"/>
      <c r="H105" s="1"/>
    </row>
    <row r="106" spans="1:8" x14ac:dyDescent="0.25">
      <c r="A106" s="246" t="s">
        <v>112</v>
      </c>
      <c r="B106" s="247"/>
      <c r="C106" s="247"/>
      <c r="D106" s="247"/>
      <c r="E106" s="247"/>
      <c r="F106" s="247"/>
      <c r="G106" s="248"/>
      <c r="H106" s="1"/>
    </row>
    <row r="107" spans="1:8" x14ac:dyDescent="0.25">
      <c r="A107" s="6">
        <v>5</v>
      </c>
      <c r="B107" s="320" t="s">
        <v>113</v>
      </c>
      <c r="C107" s="321"/>
      <c r="D107" s="321"/>
      <c r="E107" s="322"/>
      <c r="F107" s="7" t="s">
        <v>31</v>
      </c>
      <c r="G107" s="8" t="s">
        <v>32</v>
      </c>
      <c r="H107" s="1"/>
    </row>
    <row r="108" spans="1:8" x14ac:dyDescent="0.25">
      <c r="A108" s="17" t="s">
        <v>7</v>
      </c>
      <c r="B108" s="275" t="s">
        <v>114</v>
      </c>
      <c r="C108" s="275"/>
      <c r="D108" s="275"/>
      <c r="E108" s="275"/>
      <c r="F108" s="145"/>
      <c r="G108" s="38">
        <f>F108*$G$104</f>
        <v>0</v>
      </c>
      <c r="H108" s="1"/>
    </row>
    <row r="109" spans="1:8" x14ac:dyDescent="0.25">
      <c r="A109" s="17" t="s">
        <v>9</v>
      </c>
      <c r="B109" s="275" t="s">
        <v>115</v>
      </c>
      <c r="C109" s="275"/>
      <c r="D109" s="275"/>
      <c r="E109" s="275"/>
      <c r="F109" s="145"/>
      <c r="G109" s="38">
        <f>F109*$G$104</f>
        <v>0</v>
      </c>
      <c r="H109" s="51"/>
    </row>
    <row r="110" spans="1:8" x14ac:dyDescent="0.25">
      <c r="A110" s="17" t="s">
        <v>11</v>
      </c>
      <c r="B110" s="275" t="s">
        <v>116</v>
      </c>
      <c r="C110" s="275"/>
      <c r="D110" s="275"/>
      <c r="E110" s="275"/>
      <c r="F110" s="145"/>
      <c r="G110" s="38">
        <f>F110*$G$104</f>
        <v>0</v>
      </c>
      <c r="H110" s="51"/>
    </row>
    <row r="111" spans="1:8" x14ac:dyDescent="0.25">
      <c r="A111" s="296" t="s">
        <v>117</v>
      </c>
      <c r="B111" s="297"/>
      <c r="C111" s="297"/>
      <c r="D111" s="297"/>
      <c r="E111" s="297"/>
      <c r="F111" s="39">
        <f>SUM(F108:F110)</f>
        <v>0</v>
      </c>
      <c r="G111" s="13">
        <f>SUM(G108:G110)</f>
        <v>0</v>
      </c>
      <c r="H111" s="51"/>
    </row>
    <row r="112" spans="1:8" ht="15.75" thickBot="1" x14ac:dyDescent="0.3">
      <c r="A112" s="299"/>
      <c r="B112" s="300"/>
      <c r="C112" s="300"/>
      <c r="D112" s="300"/>
      <c r="E112" s="300"/>
      <c r="F112" s="300"/>
      <c r="G112" s="301"/>
      <c r="H112" s="66"/>
    </row>
    <row r="113" spans="1:8" x14ac:dyDescent="0.25">
      <c r="A113" s="246" t="s">
        <v>118</v>
      </c>
      <c r="B113" s="247"/>
      <c r="C113" s="247"/>
      <c r="D113" s="247"/>
      <c r="E113" s="247"/>
      <c r="F113" s="247"/>
      <c r="G113" s="248"/>
      <c r="H113" s="51"/>
    </row>
    <row r="114" spans="1:8" x14ac:dyDescent="0.25">
      <c r="A114" s="6">
        <v>6</v>
      </c>
      <c r="B114" s="274" t="s">
        <v>119</v>
      </c>
      <c r="C114" s="274"/>
      <c r="D114" s="274"/>
      <c r="E114" s="274"/>
      <c r="F114" s="40" t="s">
        <v>31</v>
      </c>
      <c r="G114" s="8" t="s">
        <v>32</v>
      </c>
      <c r="H114" s="51"/>
    </row>
    <row r="115" spans="1:8" x14ac:dyDescent="0.25">
      <c r="A115" s="17" t="s">
        <v>7</v>
      </c>
      <c r="B115" s="275" t="s">
        <v>120</v>
      </c>
      <c r="C115" s="275"/>
      <c r="D115" s="275"/>
      <c r="E115" s="275"/>
      <c r="F115" s="144"/>
      <c r="G115" s="41">
        <f>($G$104+$G$111)/(1-$F$118)*F115</f>
        <v>0</v>
      </c>
      <c r="H115" s="51"/>
    </row>
    <row r="116" spans="1:8" x14ac:dyDescent="0.25">
      <c r="A116" s="17" t="s">
        <v>9</v>
      </c>
      <c r="B116" s="275" t="s">
        <v>121</v>
      </c>
      <c r="C116" s="275"/>
      <c r="D116" s="275"/>
      <c r="E116" s="275"/>
      <c r="F116" s="144"/>
      <c r="G116" s="41">
        <f>($G$104+$G$111)/(1-$F$118)*F116</f>
        <v>0</v>
      </c>
      <c r="H116" s="51"/>
    </row>
    <row r="117" spans="1:8" x14ac:dyDescent="0.25">
      <c r="A117" s="17" t="s">
        <v>11</v>
      </c>
      <c r="B117" s="275" t="s">
        <v>122</v>
      </c>
      <c r="C117" s="275"/>
      <c r="D117" s="275"/>
      <c r="E117" s="275"/>
      <c r="F117" s="144"/>
      <c r="G117" s="41">
        <f>($G$104+$G$111)/(1-$F$118)*F117</f>
        <v>0</v>
      </c>
      <c r="H117" s="68"/>
    </row>
    <row r="118" spans="1:8" x14ac:dyDescent="0.25">
      <c r="A118" s="296" t="s">
        <v>123</v>
      </c>
      <c r="B118" s="326"/>
      <c r="C118" s="326"/>
      <c r="D118" s="326"/>
      <c r="E118" s="327"/>
      <c r="F118" s="20">
        <f>SUM(F115:F117)</f>
        <v>0</v>
      </c>
      <c r="G118" s="42">
        <f>SUM(G115:G117)</f>
        <v>0</v>
      </c>
      <c r="H118" s="68"/>
    </row>
    <row r="119" spans="1:8" ht="15.75" thickBot="1" x14ac:dyDescent="0.3">
      <c r="A119" s="328"/>
      <c r="B119" s="329"/>
      <c r="C119" s="329"/>
      <c r="D119" s="329"/>
      <c r="E119" s="329"/>
      <c r="F119" s="329"/>
      <c r="G119" s="330"/>
      <c r="H119" s="1"/>
    </row>
    <row r="120" spans="1:8" ht="15.75" thickBot="1" x14ac:dyDescent="0.3">
      <c r="A120" s="331" t="s">
        <v>124</v>
      </c>
      <c r="B120" s="332"/>
      <c r="C120" s="332"/>
      <c r="D120" s="332"/>
      <c r="E120" s="332"/>
      <c r="F120" s="332"/>
      <c r="G120" s="43">
        <f>G118+G111+G104</f>
        <v>570.43200000000002</v>
      </c>
      <c r="H120" s="1"/>
    </row>
    <row r="121" spans="1:8" ht="15.75" thickBot="1" x14ac:dyDescent="0.3">
      <c r="A121" s="333"/>
      <c r="B121" s="334"/>
      <c r="C121" s="334"/>
      <c r="D121" s="334"/>
      <c r="E121" s="334"/>
      <c r="F121" s="334"/>
      <c r="G121" s="335"/>
      <c r="H121" s="1"/>
    </row>
    <row r="122" spans="1:8" x14ac:dyDescent="0.25">
      <c r="A122" s="336" t="s">
        <v>125</v>
      </c>
      <c r="B122" s="337"/>
      <c r="C122" s="337"/>
      <c r="D122" s="337"/>
      <c r="E122" s="337"/>
      <c r="F122" s="337"/>
      <c r="G122" s="338"/>
      <c r="H122" s="65"/>
    </row>
    <row r="123" spans="1:8" x14ac:dyDescent="0.25">
      <c r="A123" s="323" t="s">
        <v>126</v>
      </c>
      <c r="B123" s="324"/>
      <c r="C123" s="324" t="s">
        <v>127</v>
      </c>
      <c r="D123" s="324" t="s">
        <v>128</v>
      </c>
      <c r="E123" s="324" t="s">
        <v>129</v>
      </c>
      <c r="F123" s="324" t="s">
        <v>130</v>
      </c>
      <c r="G123" s="325" t="s">
        <v>131</v>
      </c>
      <c r="H123" s="1"/>
    </row>
    <row r="124" spans="1:8" x14ac:dyDescent="0.25">
      <c r="A124" s="323"/>
      <c r="B124" s="324"/>
      <c r="C124" s="324"/>
      <c r="D124" s="324"/>
      <c r="E124" s="324"/>
      <c r="F124" s="324"/>
      <c r="G124" s="325"/>
    </row>
    <row r="125" spans="1:8" ht="27.75" customHeight="1" x14ac:dyDescent="0.25">
      <c r="A125" s="356" t="s">
        <v>132</v>
      </c>
      <c r="B125" s="292"/>
      <c r="C125" s="80">
        <v>130</v>
      </c>
      <c r="D125" s="81">
        <v>0.6</v>
      </c>
      <c r="E125" s="82">
        <f>C125*(D125+1)*$G$27/220</f>
        <v>0</v>
      </c>
      <c r="F125" s="82">
        <f>E125*(1+$F$79)</f>
        <v>0</v>
      </c>
      <c r="G125" s="83">
        <f>F125/(1-$F$118)</f>
        <v>0</v>
      </c>
      <c r="H125" s="73"/>
    </row>
    <row r="126" spans="1:8" ht="27" customHeight="1" x14ac:dyDescent="0.25">
      <c r="A126" s="357" t="s">
        <v>133</v>
      </c>
      <c r="B126" s="291"/>
      <c r="C126" s="80">
        <v>39</v>
      </c>
      <c r="D126" s="81">
        <v>1</v>
      </c>
      <c r="E126" s="82">
        <f>C126*(D126+1)/220*$G$27</f>
        <v>0</v>
      </c>
      <c r="F126" s="82">
        <f>E126*(1+$F$79)</f>
        <v>0</v>
      </c>
      <c r="G126" s="83">
        <f>F126/(1-$F$118)</f>
        <v>0</v>
      </c>
      <c r="H126" s="73"/>
    </row>
    <row r="127" spans="1:8" ht="15.75" thickBot="1" x14ac:dyDescent="0.3">
      <c r="A127" s="358" t="s">
        <v>134</v>
      </c>
      <c r="B127" s="359"/>
      <c r="C127" s="47">
        <v>50</v>
      </c>
      <c r="D127" s="48">
        <v>0.2</v>
      </c>
      <c r="E127" s="49">
        <f>C127/(52.5/60)*(G$27/220)*(1+D125)*(1+D127)</f>
        <v>0</v>
      </c>
      <c r="F127" s="49">
        <f>E127*(1+$F$79)</f>
        <v>0</v>
      </c>
      <c r="G127" s="50">
        <f>F127/(1-$F$118)</f>
        <v>0</v>
      </c>
      <c r="H127" s="74"/>
    </row>
    <row r="128" spans="1:8" ht="14.25" customHeight="1" thickBot="1" x14ac:dyDescent="0.3">
      <c r="A128" s="360" t="s">
        <v>135</v>
      </c>
      <c r="B128" s="361"/>
      <c r="C128" s="361"/>
      <c r="D128" s="361"/>
      <c r="E128" s="361"/>
      <c r="F128" s="361"/>
      <c r="G128" s="148">
        <f>SUM(G125:G127)</f>
        <v>0</v>
      </c>
      <c r="H128" s="51"/>
    </row>
    <row r="129" spans="1:8" ht="14.25" customHeight="1" thickBot="1" x14ac:dyDescent="0.3">
      <c r="A129" s="230"/>
      <c r="B129" s="231"/>
      <c r="C129" s="231"/>
      <c r="D129" s="231"/>
      <c r="E129" s="231"/>
      <c r="F129" s="231"/>
      <c r="G129" s="232"/>
      <c r="H129" s="51"/>
    </row>
    <row r="130" spans="1:8" x14ac:dyDescent="0.25">
      <c r="A130" s="336" t="s">
        <v>163</v>
      </c>
      <c r="B130" s="337"/>
      <c r="C130" s="337"/>
      <c r="D130" s="337"/>
      <c r="E130" s="337"/>
      <c r="F130" s="337"/>
      <c r="G130" s="338"/>
      <c r="H130" s="51"/>
    </row>
    <row r="131" spans="1:8" ht="27" customHeight="1" x14ac:dyDescent="0.25">
      <c r="A131" s="323" t="s">
        <v>164</v>
      </c>
      <c r="B131" s="324"/>
      <c r="C131" s="88" t="s">
        <v>165</v>
      </c>
      <c r="D131" s="88" t="s">
        <v>166</v>
      </c>
      <c r="E131" s="86" t="s">
        <v>129</v>
      </c>
      <c r="F131" s="86" t="s">
        <v>167</v>
      </c>
      <c r="G131" s="87" t="s">
        <v>131</v>
      </c>
    </row>
    <row r="132" spans="1:8" ht="14.25" customHeight="1" x14ac:dyDescent="0.25">
      <c r="A132" s="379" t="s">
        <v>168</v>
      </c>
      <c r="B132" s="304"/>
      <c r="C132" s="44">
        <v>24</v>
      </c>
      <c r="D132" s="75">
        <v>112.5</v>
      </c>
      <c r="E132" s="76">
        <f>C132*D132</f>
        <v>2700</v>
      </c>
      <c r="F132" s="45">
        <f>E132</f>
        <v>2700</v>
      </c>
      <c r="G132" s="46">
        <f>F132/(1-$F$120)</f>
        <v>2700</v>
      </c>
      <c r="H132" s="73"/>
    </row>
    <row r="133" spans="1:8" ht="15.75" thickBot="1" x14ac:dyDescent="0.3">
      <c r="A133" s="380" t="s">
        <v>169</v>
      </c>
      <c r="B133" s="381"/>
      <c r="C133" s="47">
        <v>34</v>
      </c>
      <c r="D133" s="154">
        <v>390</v>
      </c>
      <c r="E133" s="154">
        <f>C133*D133</f>
        <v>13260</v>
      </c>
      <c r="F133" s="49">
        <f>E133</f>
        <v>13260</v>
      </c>
      <c r="G133" s="50">
        <f>F133/(1-$F$120)</f>
        <v>13260</v>
      </c>
      <c r="H133" s="73"/>
    </row>
    <row r="134" spans="1:8" ht="15.75" thickBot="1" x14ac:dyDescent="0.3">
      <c r="A134" s="360" t="s">
        <v>170</v>
      </c>
      <c r="B134" s="361"/>
      <c r="C134" s="361"/>
      <c r="D134" s="361"/>
      <c r="E134" s="361"/>
      <c r="F134" s="361"/>
      <c r="G134" s="148">
        <f>SUM(G132:G133)</f>
        <v>15960</v>
      </c>
      <c r="H134" s="51"/>
    </row>
    <row r="135" spans="1:8" ht="15.75" thickBot="1" x14ac:dyDescent="0.3">
      <c r="A135" s="347"/>
      <c r="B135" s="348"/>
      <c r="C135" s="348"/>
      <c r="D135" s="348"/>
      <c r="E135" s="348"/>
      <c r="F135" s="348"/>
      <c r="G135" s="349"/>
      <c r="H135" s="65"/>
    </row>
    <row r="136" spans="1:8" x14ac:dyDescent="0.25">
      <c r="A136" s="362" t="s">
        <v>136</v>
      </c>
      <c r="B136" s="363"/>
      <c r="C136" s="363"/>
      <c r="D136" s="363"/>
      <c r="E136" s="363"/>
      <c r="F136" s="363"/>
      <c r="G136" s="364"/>
      <c r="H136" s="51"/>
    </row>
    <row r="137" spans="1:8" ht="33.75" x14ac:dyDescent="0.25">
      <c r="A137" s="52" t="s">
        <v>137</v>
      </c>
      <c r="B137" s="339" t="s">
        <v>138</v>
      </c>
      <c r="C137" s="340"/>
      <c r="D137" s="341"/>
      <c r="E137" s="53" t="s">
        <v>139</v>
      </c>
      <c r="F137" s="53" t="s">
        <v>140</v>
      </c>
      <c r="G137" s="54" t="s">
        <v>141</v>
      </c>
      <c r="H137" s="70"/>
    </row>
    <row r="138" spans="1:8" ht="15.75" thickBot="1" x14ac:dyDescent="0.3">
      <c r="A138" s="149">
        <v>8</v>
      </c>
      <c r="B138" s="342" t="str">
        <f>B15</f>
        <v>Motorista Executivo I</v>
      </c>
      <c r="C138" s="343"/>
      <c r="D138" s="344"/>
      <c r="E138" s="150">
        <f>F15</f>
        <v>1</v>
      </c>
      <c r="F138" s="151">
        <f>G120</f>
        <v>570.43200000000002</v>
      </c>
      <c r="G138" s="152">
        <f>F138*E138</f>
        <v>570.43200000000002</v>
      </c>
      <c r="H138" s="70"/>
    </row>
    <row r="139" spans="1:8" ht="15.75" thickBot="1" x14ac:dyDescent="0.3">
      <c r="A139" s="345" t="s">
        <v>142</v>
      </c>
      <c r="B139" s="346"/>
      <c r="C139" s="346"/>
      <c r="D139" s="346"/>
      <c r="E139" s="346"/>
      <c r="F139" s="346"/>
      <c r="G139" s="153">
        <f>G138*12</f>
        <v>6845.1840000000002</v>
      </c>
      <c r="H139" s="1"/>
    </row>
    <row r="140" spans="1:8" ht="15.75" thickBot="1" x14ac:dyDescent="0.3">
      <c r="A140" s="347"/>
      <c r="B140" s="348"/>
      <c r="C140" s="348"/>
      <c r="D140" s="348"/>
      <c r="E140" s="348"/>
      <c r="F140" s="348"/>
      <c r="G140" s="349"/>
      <c r="H140" s="56"/>
    </row>
    <row r="141" spans="1:8" ht="27.75" customHeight="1" thickBot="1" x14ac:dyDescent="0.3">
      <c r="A141" s="350" t="s">
        <v>143</v>
      </c>
      <c r="B141" s="351"/>
      <c r="C141" s="351"/>
      <c r="D141" s="351"/>
      <c r="E141" s="351"/>
      <c r="F141" s="352"/>
      <c r="G141" s="55">
        <f>(G128+G134+G139)</f>
        <v>22805.184000000001</v>
      </c>
      <c r="H141" s="56"/>
    </row>
    <row r="142" spans="1:8" ht="15.75" thickBot="1" x14ac:dyDescent="0.3">
      <c r="A142" s="353" t="s">
        <v>144</v>
      </c>
      <c r="B142" s="354"/>
      <c r="C142" s="354"/>
      <c r="D142" s="354"/>
      <c r="E142" s="354"/>
      <c r="F142" s="355"/>
      <c r="G142" s="71">
        <f>G141*5</f>
        <v>114025.92000000001</v>
      </c>
      <c r="H142" s="56"/>
    </row>
    <row r="143" spans="1:8" x14ac:dyDescent="0.25">
      <c r="A143" s="57"/>
      <c r="B143" s="57"/>
      <c r="C143" s="57"/>
      <c r="D143" s="57"/>
      <c r="E143" s="57"/>
      <c r="F143" s="57"/>
      <c r="G143" s="58"/>
      <c r="H143" s="1"/>
    </row>
    <row r="144" spans="1:8" x14ac:dyDescent="0.25">
      <c r="A144" s="51" t="s">
        <v>145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59" t="s">
        <v>146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59" t="s">
        <v>147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59" t="s">
        <v>148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59" t="s">
        <v>149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59" t="s">
        <v>150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59" t="s">
        <v>151</v>
      </c>
      <c r="B150" s="1"/>
      <c r="C150" s="1"/>
      <c r="D150" s="1"/>
      <c r="E150" s="1"/>
      <c r="F150" s="1"/>
      <c r="G150" s="1"/>
      <c r="H150" s="1"/>
    </row>
    <row r="151" spans="1:8" x14ac:dyDescent="0.25">
      <c r="A151" s="51" t="s">
        <v>152</v>
      </c>
      <c r="B151" s="1"/>
      <c r="C151" s="1"/>
      <c r="D151" s="1"/>
      <c r="E151" s="1"/>
      <c r="F151" s="1"/>
      <c r="G151" s="1"/>
      <c r="H151" s="1"/>
    </row>
    <row r="152" spans="1:8" x14ac:dyDescent="0.25">
      <c r="A152" s="51" t="s">
        <v>153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51" t="s">
        <v>154</v>
      </c>
      <c r="B153" s="1"/>
      <c r="C153" s="1"/>
      <c r="D153" s="1"/>
      <c r="E153" s="1"/>
      <c r="F153" s="1"/>
      <c r="G153" s="1"/>
      <c r="H153" s="65"/>
    </row>
    <row r="154" spans="1:8" x14ac:dyDescent="0.25">
      <c r="A154" s="51" t="s">
        <v>155</v>
      </c>
      <c r="B154" s="1"/>
      <c r="C154" s="1"/>
      <c r="D154" s="1"/>
      <c r="E154" s="1"/>
      <c r="F154" s="1"/>
      <c r="G154" s="1"/>
    </row>
  </sheetData>
  <sheetProtection algorithmName="SHA-512" hashValue="8Ekzfppy63sYqBj9tmFjm9rxLbxjPwGDpiGpUldtJSdrosNMBJ7CFKVF/S7/Lo999He6BkD7e2c4kduxsdtQ/Q==" saltValue="/YTW3TSfbFfEQraJviAvqw==" spinCount="100000" sheet="1" objects="1" scenarios="1"/>
  <mergeCells count="159">
    <mergeCell ref="B137:D137"/>
    <mergeCell ref="B138:D138"/>
    <mergeCell ref="A139:F139"/>
    <mergeCell ref="A140:G140"/>
    <mergeCell ref="A141:F141"/>
    <mergeCell ref="A142:F142"/>
    <mergeCell ref="A125:B125"/>
    <mergeCell ref="A126:B126"/>
    <mergeCell ref="A127:B127"/>
    <mergeCell ref="A128:F128"/>
    <mergeCell ref="A135:G135"/>
    <mergeCell ref="A136:G136"/>
    <mergeCell ref="A132:B132"/>
    <mergeCell ref="A133:B133"/>
    <mergeCell ref="A134:F134"/>
    <mergeCell ref="A130:G130"/>
    <mergeCell ref="A131:B131"/>
    <mergeCell ref="A129:G129"/>
    <mergeCell ref="A123:B124"/>
    <mergeCell ref="C123:C124"/>
    <mergeCell ref="D123:D124"/>
    <mergeCell ref="E123:E124"/>
    <mergeCell ref="F123:F124"/>
    <mergeCell ref="G123:G124"/>
    <mergeCell ref="B117:E117"/>
    <mergeCell ref="A118:E118"/>
    <mergeCell ref="A119:G119"/>
    <mergeCell ref="A120:F120"/>
    <mergeCell ref="A121:G121"/>
    <mergeCell ref="A122:G122"/>
    <mergeCell ref="A111:E111"/>
    <mergeCell ref="A112:G112"/>
    <mergeCell ref="A113:G113"/>
    <mergeCell ref="B114:E114"/>
    <mergeCell ref="B115:E115"/>
    <mergeCell ref="B116:E116"/>
    <mergeCell ref="A105:G105"/>
    <mergeCell ref="A106:G106"/>
    <mergeCell ref="B107:E107"/>
    <mergeCell ref="B108:E108"/>
    <mergeCell ref="B109:E109"/>
    <mergeCell ref="B110:E110"/>
    <mergeCell ref="B100:F100"/>
    <mergeCell ref="B101:F101"/>
    <mergeCell ref="A102:F102"/>
    <mergeCell ref="A103:G103"/>
    <mergeCell ref="A104:F104"/>
    <mergeCell ref="A94:F94"/>
    <mergeCell ref="A95:G95"/>
    <mergeCell ref="A96:G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E82"/>
    <mergeCell ref="B83:F83"/>
    <mergeCell ref="B84:E84"/>
    <mergeCell ref="B85:F85"/>
    <mergeCell ref="B86:E86"/>
    <mergeCell ref="B87:F87"/>
    <mergeCell ref="B76:E76"/>
    <mergeCell ref="B77:E77"/>
    <mergeCell ref="B78:E78"/>
    <mergeCell ref="A79:E79"/>
    <mergeCell ref="A80:G80"/>
    <mergeCell ref="A81:G81"/>
    <mergeCell ref="B70:E70"/>
    <mergeCell ref="A71:E71"/>
    <mergeCell ref="A72:G72"/>
    <mergeCell ref="A73:G73"/>
    <mergeCell ref="B74:E74"/>
    <mergeCell ref="B75:E75"/>
    <mergeCell ref="B64:E64"/>
    <mergeCell ref="B65:E65"/>
    <mergeCell ref="B66:E66"/>
    <mergeCell ref="B67:E67"/>
    <mergeCell ref="A68:E68"/>
    <mergeCell ref="B69:E69"/>
    <mergeCell ref="H57:H58"/>
    <mergeCell ref="B59:E59"/>
    <mergeCell ref="B60:E60"/>
    <mergeCell ref="A61:E61"/>
    <mergeCell ref="A62:G62"/>
    <mergeCell ref="B63:E63"/>
    <mergeCell ref="B53:E53"/>
    <mergeCell ref="A54:E54"/>
    <mergeCell ref="A55:G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A41:G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A40:E40"/>
    <mergeCell ref="A29:G29"/>
    <mergeCell ref="A30:G30"/>
    <mergeCell ref="B31:E31"/>
    <mergeCell ref="B32:E32"/>
    <mergeCell ref="B33:E33"/>
    <mergeCell ref="B34:E34"/>
    <mergeCell ref="B23:E23"/>
    <mergeCell ref="B24:F24"/>
    <mergeCell ref="B25:E25"/>
    <mergeCell ref="A26:E26"/>
    <mergeCell ref="A27:F27"/>
    <mergeCell ref="A28:G28"/>
    <mergeCell ref="B19:E19"/>
    <mergeCell ref="F19:G19"/>
    <mergeCell ref="B20:E20"/>
    <mergeCell ref="F20:G20"/>
    <mergeCell ref="A21:G21"/>
    <mergeCell ref="A22:G22"/>
    <mergeCell ref="B14:E14"/>
    <mergeCell ref="F14:G14"/>
    <mergeCell ref="B15:E15"/>
    <mergeCell ref="F15:G15"/>
    <mergeCell ref="A16:G16"/>
    <mergeCell ref="B17:E17"/>
    <mergeCell ref="F17:G17"/>
    <mergeCell ref="B18:E18"/>
    <mergeCell ref="F18:G18"/>
    <mergeCell ref="A12:G12"/>
    <mergeCell ref="A13:G13"/>
    <mergeCell ref="A6:G6"/>
    <mergeCell ref="B7:E7"/>
    <mergeCell ref="F7:G7"/>
    <mergeCell ref="B8:E8"/>
    <mergeCell ref="F8:G8"/>
    <mergeCell ref="B9:E9"/>
    <mergeCell ref="F9:G9"/>
    <mergeCell ref="A1:G1"/>
    <mergeCell ref="A2:G2"/>
    <mergeCell ref="A3:G3"/>
    <mergeCell ref="A4:D4"/>
    <mergeCell ref="F4:G4"/>
    <mergeCell ref="A5:G5"/>
    <mergeCell ref="B10:E10"/>
    <mergeCell ref="F10:G10"/>
    <mergeCell ref="B11:E11"/>
    <mergeCell ref="F11:G11"/>
  </mergeCells>
  <dataValidations count="3">
    <dataValidation type="decimal" operator="greaterThanOrEqual" allowBlank="1" showInputMessage="1" showErrorMessage="1" error="O preenchimento deverá respeitar o piso salarial da categoria estabelecido pela Convenção Coletiva." sqref="G24">
      <formula1>F17</formula1>
    </dataValidation>
    <dataValidation type="decimal" operator="lessThanOrEqual" allowBlank="1" showInputMessage="1" showErrorMessage="1" error="O limite máximo para desconto é de 20% do valor do auxílio alimentação." sqref="F86">
      <formula1>0.2</formula1>
    </dataValidation>
    <dataValidation type="decimal" operator="lessThanOrEqual" allowBlank="1" showInputMessage="1" showErrorMessage="1" error="O limite máximo para desconto é de 6% do valor do salário base." sqref="F84">
      <formula1>0.06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Anexo III - Modelo de proposta</vt:lpstr>
      <vt:lpstr>Copeiragem</vt:lpstr>
      <vt:lpstr>Servente de Limpeza</vt:lpstr>
      <vt:lpstr>Servente de Limpreza (MHMTT)</vt:lpstr>
      <vt:lpstr>Auxiliar de Manutenção Predial</vt:lpstr>
      <vt:lpstr>Recepcionista</vt:lpstr>
      <vt:lpstr>Assistente Administrativo I</vt:lpstr>
      <vt:lpstr>Assistente Adm. - MHMTT</vt:lpstr>
      <vt:lpstr>Motorista I</vt:lpstr>
      <vt:lpstr>Motorista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compras03</dc:creator>
  <cp:lastModifiedBy>compras03</cp:lastModifiedBy>
  <dcterms:created xsi:type="dcterms:W3CDTF">2022-07-27T16:01:59Z</dcterms:created>
  <dcterms:modified xsi:type="dcterms:W3CDTF">2022-08-24T21:18:14Z</dcterms:modified>
</cp:coreProperties>
</file>